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66925"/>
  <xr:revisionPtr revIDLastSave="0" documentId="13_ncr:1_{3B16476D-502F-4313-B942-1812B0C526F0}" xr6:coauthVersionLast="47" xr6:coauthVersionMax="47" xr10:uidLastSave="{00000000-0000-0000-0000-000000000000}"/>
  <workbookProtection workbookAlgorithmName="SHA-512" workbookHashValue="5fTi8oBF3r9XvHkI8EARSncG5+ylDBa7KGX5fa1sPCpZ3yeoRhgmfOh/6yGSywZq7/0LqmKTEVu958CNM/2qOg==" workbookSaltValue="C7/4vOcGMTmgxQ/tR6zzCw==" workbookSpinCount="100000" lockStructure="1"/>
  <bookViews>
    <workbookView xWindow="-120" yWindow="-120" windowWidth="29040" windowHeight="15840" xr2:uid="{C8789AA4-AE23-4783-BFE9-8D190E0D6379}"/>
  </bookViews>
  <sheets>
    <sheet name="Info" sheetId="6" r:id="rId1"/>
    <sheet name="Données Générales" sheetId="2" r:id="rId2"/>
    <sheet name="Liste Soumissionnaires valides" sheetId="3" r:id="rId3"/>
    <sheet name="Param Application" sheetId="5" state="hidden" r:id="rId4"/>
  </sheets>
  <definedNames>
    <definedName name="_xlnm._FilterDatabase" localSheetId="1" hidden="1">'Données Générales'!$A$1:$F$109</definedName>
    <definedName name="_xlnm._FilterDatabase" localSheetId="2" hidden="1">'Liste Soumissionnaires valides'!$A$18:$BZ$18</definedName>
    <definedName name="Const_Arrondi">'Données Générales'!$C$5</definedName>
    <definedName name="Const_CritManTooHigh">'Param Application'!$I$10</definedName>
    <definedName name="Const_CritManTooSmall">'Param Application'!#REF!</definedName>
    <definedName name="Const_Escalier3">'Param Application'!$I$6</definedName>
    <definedName name="Const_Escalier4">'Param Application'!$I$7</definedName>
    <definedName name="Const_Manuel">'Param Application'!$I$9</definedName>
    <definedName name="Const_Max">'Param Application'!$I$4</definedName>
    <definedName name="Const_Min">'Param Application'!$I$3</definedName>
    <definedName name="Const_NA">'Param Application'!$I$2</definedName>
    <definedName name="Const_PasCrit">'Param Application'!$I$5</definedName>
    <definedName name="Const_PlanIncl">'Param Application'!$I$8</definedName>
    <definedName name="Crit05_Max">'Liste Soumissionnaires valides'!$K$36</definedName>
    <definedName name="Crit05_min">'Liste Soumissionnaires valides'!$K$35</definedName>
    <definedName name="Crit06_Max">'Liste Soumissionnaires valides'!$L$36</definedName>
    <definedName name="Crit06_min">'Liste Soumissionnaires valides'!$L$35</definedName>
    <definedName name="Crit07_Max">'Liste Soumissionnaires valides'!$M$36</definedName>
    <definedName name="Crit07_min">'Liste Soumissionnaires valides'!$M$35</definedName>
    <definedName name="Crit08_Max">'Liste Soumissionnaires valides'!$N$36</definedName>
    <definedName name="Crit08_min">'Liste Soumissionnaires valides'!$N$35</definedName>
    <definedName name="Crit09_Max">'Liste Soumissionnaires valides'!$O$36</definedName>
    <definedName name="Crit09_min">'Liste Soumissionnaires valides'!$O$35</definedName>
    <definedName name="DistExpl_Max">'Liste Soumissionnaires valides'!$H$36</definedName>
    <definedName name="DistExpl_min">'Liste Soumissionnaires valides'!$H$35</definedName>
    <definedName name="DistParc_Max">'Liste Soumissionnaires valides'!$G$36</definedName>
    <definedName name="DistParc_min">'Liste Soumissionnaires valides'!$G$35</definedName>
    <definedName name="_xlnm.Print_Titles" localSheetId="1">'Données Générales'!$1:$1</definedName>
    <definedName name="_xlnm.Print_Titles" localSheetId="2">'Liste Soumissionnaires valides'!$A:$B,'Liste Soumissionnaires valides'!$10:$18</definedName>
    <definedName name="List_Type_Critères">Tableau1[Type de critères]</definedName>
    <definedName name="List_Type_Critères_Détails">Tableau1[]</definedName>
    <definedName name="List_Type_Critères_Détails_Par_Nom">Tableau1[[Type de critères]:[Texte Pts Limite 2]]</definedName>
    <definedName name="Param_Contenance">'Liste Soumissionnaires valides'!$B$7</definedName>
    <definedName name="Param_DLimS">'Liste Soumissionnaires valides'!$B$9</definedName>
    <definedName name="Param_SMaxR">'Données Générales'!$C$4</definedName>
    <definedName name="Param_SminR">'Données Générales'!$C$3</definedName>
    <definedName name="PctSPublicApr_Max">'Liste Soumissionnaires valides'!$J$36</definedName>
    <definedName name="PctSPublicApr_Max2">'Liste Soumissionnaires valides'!#REF!</definedName>
    <definedName name="PctSPublicApr_min">'Liste Soumissionnaires valides'!$J$35</definedName>
    <definedName name="PctSPublicApr_min2">'Liste Soumissionnaires valides'!#REF!</definedName>
    <definedName name="PctSPublicAvt_Max">'Liste Soumissionnaires valides'!$I$36</definedName>
    <definedName name="PctSPublicAvt_min">'Liste Soumissionnaires valides'!$I$35</definedName>
    <definedName name="SAU_Max">'Liste Soumissionnaires valides'!$E$36</definedName>
    <definedName name="SAU_min">'Liste Soumissionnaires valides'!$E$35</definedName>
    <definedName name="ScoreTotal_Max">'Liste Soumissionnaires valides'!$BY$36</definedName>
    <definedName name="SPublicAvt_Max">'Liste Soumissionnaires valides'!$F$36</definedName>
    <definedName name="SPublicAvt_min">'Liste Soumissionnaires valides'!$F$35</definedName>
    <definedName name="Tbl_Crit01">'Données Générales'!$A$9:$C$15</definedName>
    <definedName name="Tbl_Crit02.01">'Données Générales'!$A$19:$C$25</definedName>
    <definedName name="Tbl_Crit02.02">'Données Générales'!$A$27:$C$33</definedName>
    <definedName name="Tbl_Crit03.01">'Données Générales'!$A$37:$C$43</definedName>
    <definedName name="Tbl_Crit03.02">'Données Générales'!$A$45:$C$51</definedName>
    <definedName name="Tbl_Crit04.01.01">'Données Générales'!$A$56:$C$62</definedName>
    <definedName name="Tbl_Crit04.01.02">'Données Générales'!$A$64:$C$70</definedName>
    <definedName name="Tbl_Crit04.01.03">'Données Générales'!$A$72:$C$78</definedName>
    <definedName name="Tbl_Crit04.02">'Données Générales'!$A$80:$C$86</definedName>
    <definedName name="Tbl_Crit05">'Données Générales'!$A$90:$C$98</definedName>
    <definedName name="Tbl_Crit06">'Données Générales'!$A$101:$C$109</definedName>
    <definedName name="Tbl_Crit07">'Données Générales'!$A$112:$C$120</definedName>
    <definedName name="Tbl_Crit08">'Données Générales'!$A$123:$C$131</definedName>
    <definedName name="Tbl_Crit09">'Données Générales'!$A$134:$C$142</definedName>
    <definedName name="_xlnm.Print_Area" localSheetId="1">'Données Générales'!$A$1:$E$144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1" i="3" l="1"/>
  <c r="F97" i="2"/>
  <c r="BS18" i="3"/>
  <c r="BT18" i="3" s="1"/>
  <c r="BS17" i="3"/>
  <c r="BS16" i="3"/>
  <c r="BS15" i="3"/>
  <c r="BS14" i="3"/>
  <c r="BS13" i="3"/>
  <c r="BS11" i="3"/>
  <c r="BX11" i="3" s="1"/>
  <c r="BM18" i="3"/>
  <c r="BN18" i="3" s="1"/>
  <c r="N18" i="3"/>
  <c r="BM17" i="3"/>
  <c r="BM16" i="3"/>
  <c r="BM15" i="3"/>
  <c r="BM14" i="3"/>
  <c r="BM13" i="3"/>
  <c r="BM11" i="3"/>
  <c r="BR11" i="3" s="1"/>
  <c r="F141" i="2"/>
  <c r="F139" i="2"/>
  <c r="F130" i="2"/>
  <c r="F128" i="2"/>
  <c r="F108" i="2"/>
  <c r="F106" i="2"/>
  <c r="F119" i="2"/>
  <c r="F117" i="2"/>
  <c r="AU18" i="3"/>
  <c r="AV18" i="3" s="1"/>
  <c r="BA18" i="3"/>
  <c r="BB18" i="3" s="1"/>
  <c r="BG18" i="3"/>
  <c r="BH18" i="3" s="1"/>
  <c r="BG17" i="3"/>
  <c r="BG16" i="3"/>
  <c r="BG15" i="3"/>
  <c r="BG14" i="3"/>
  <c r="BG13" i="3"/>
  <c r="BG11" i="3"/>
  <c r="BL11" i="3" s="1"/>
  <c r="B141" i="2"/>
  <c r="B139" i="2"/>
  <c r="B137" i="2"/>
  <c r="C136" i="2"/>
  <c r="BS12" i="3" s="1"/>
  <c r="E134" i="2"/>
  <c r="B130" i="2"/>
  <c r="B128" i="2"/>
  <c r="B126" i="2"/>
  <c r="C125" i="2"/>
  <c r="BM12" i="3" s="1"/>
  <c r="E123" i="2"/>
  <c r="B119" i="2"/>
  <c r="B117" i="2"/>
  <c r="B115" i="2"/>
  <c r="C114" i="2"/>
  <c r="BL16" i="3" s="1"/>
  <c r="E112" i="2"/>
  <c r="P19" i="3" a="1"/>
  <c r="P19" i="3" s="1"/>
  <c r="O36" i="3" s="1" a="1"/>
  <c r="O36" i="3" s="1"/>
  <c r="C103" i="2"/>
  <c r="BA17" i="3"/>
  <c r="BA16" i="3"/>
  <c r="BA13" i="3"/>
  <c r="BA15" i="3"/>
  <c r="BA14" i="3"/>
  <c r="BA11" i="3"/>
  <c r="B108" i="2"/>
  <c r="B106" i="2"/>
  <c r="B104" i="2"/>
  <c r="E101" i="2"/>
  <c r="AU14" i="3"/>
  <c r="B93" i="2"/>
  <c r="O18" i="3"/>
  <c r="M18" i="3"/>
  <c r="L18" i="3"/>
  <c r="K18" i="3"/>
  <c r="T11" i="3"/>
  <c r="AU17" i="3"/>
  <c r="AU16" i="3"/>
  <c r="AU15" i="3"/>
  <c r="AU13" i="3"/>
  <c r="AR17" i="3"/>
  <c r="AR16" i="3"/>
  <c r="AR15" i="3"/>
  <c r="AR14" i="3"/>
  <c r="AR13" i="3"/>
  <c r="AR11" i="3"/>
  <c r="AT11" i="3" s="1"/>
  <c r="C81" i="2"/>
  <c r="AR12" i="3" s="1"/>
  <c r="AI17" i="3"/>
  <c r="AI16" i="3"/>
  <c r="AI15" i="3"/>
  <c r="AI14" i="3"/>
  <c r="AI13" i="3"/>
  <c r="AL17" i="3"/>
  <c r="AL16" i="3"/>
  <c r="AL15" i="3"/>
  <c r="AL14" i="3"/>
  <c r="AL13" i="3"/>
  <c r="AO17" i="3"/>
  <c r="AO16" i="3"/>
  <c r="AO15" i="3"/>
  <c r="AO14" i="3"/>
  <c r="AO13" i="3"/>
  <c r="AO11" i="3"/>
  <c r="AQ11" i="3" s="1"/>
  <c r="AL11" i="3"/>
  <c r="AN11" i="3" s="1"/>
  <c r="AI11" i="3"/>
  <c r="AK11" i="3" s="1"/>
  <c r="AM19" i="3" a="1"/>
  <c r="AM19" i="3" s="1"/>
  <c r="AM36" i="3" s="1"/>
  <c r="AJ19" i="3" a="1"/>
  <c r="AJ19" i="3" s="1"/>
  <c r="AJ35" i="3" s="1"/>
  <c r="X19" i="3" a="1"/>
  <c r="X19" i="3" s="1"/>
  <c r="AG19" i="3" a="1"/>
  <c r="AG19" i="3" s="1"/>
  <c r="AG36" i="3" s="1"/>
  <c r="AD19" i="3" a="1"/>
  <c r="AD19" i="3" s="1"/>
  <c r="AD36" i="3" s="1"/>
  <c r="AA19" i="3" a="1"/>
  <c r="AA19" i="3" s="1"/>
  <c r="AA35" i="3" s="1"/>
  <c r="L35" i="3" l="1" a="1"/>
  <c r="L35" i="3" s="1"/>
  <c r="H36" i="3" a="1"/>
  <c r="H36" i="3" s="1"/>
  <c r="E35" i="3" a="1"/>
  <c r="E35" i="3" s="1"/>
  <c r="M35" i="3" a="1"/>
  <c r="M35" i="3" s="1"/>
  <c r="BH14" i="3" s="1"/>
  <c r="BI14" i="3" s="1"/>
  <c r="N35" i="3" a="1"/>
  <c r="N35" i="3" s="1"/>
  <c r="G35" i="3" a="1"/>
  <c r="G35" i="3" s="1"/>
  <c r="O35" i="3" a="1"/>
  <c r="O35" i="3" s="1"/>
  <c r="BT14" i="3" s="1"/>
  <c r="K36" i="3" a="1"/>
  <c r="K36" i="3" s="1"/>
  <c r="L36" i="3" a="1"/>
  <c r="L36" i="3" s="1"/>
  <c r="F35" i="3" a="1"/>
  <c r="F35" i="3" s="1"/>
  <c r="E36" i="3" a="1"/>
  <c r="E36" i="3" s="1"/>
  <c r="M36" i="3" a="1"/>
  <c r="M36" i="3" s="1"/>
  <c r="BH16" i="3" s="1"/>
  <c r="F36" i="3" a="1"/>
  <c r="F36" i="3" s="1"/>
  <c r="N36" i="3" a="1"/>
  <c r="N36" i="3" s="1"/>
  <c r="BN16" i="3" s="1"/>
  <c r="BP16" i="3" s="1"/>
  <c r="H35" i="3" a="1"/>
  <c r="H35" i="3" s="1"/>
  <c r="K35" i="3" a="1"/>
  <c r="K35" i="3" s="1"/>
  <c r="G36" i="3" a="1"/>
  <c r="G36" i="3" s="1"/>
  <c r="C36" i="3" a="1"/>
  <c r="C36" i="3" s="1"/>
  <c r="C35" i="3" a="1"/>
  <c r="C35" i="3" s="1"/>
  <c r="BR16" i="3"/>
  <c r="C92" i="2"/>
  <c r="AZ16" i="3" s="1"/>
  <c r="B95" i="2"/>
  <c r="E90" i="2"/>
  <c r="F95" i="2"/>
  <c r="B97" i="2"/>
  <c r="BT19" i="3" a="1"/>
  <c r="BT19" i="3" s="1"/>
  <c r="BX16" i="3"/>
  <c r="BU11" i="3"/>
  <c r="BN19" i="3" a="1"/>
  <c r="BN19" i="3" s="1"/>
  <c r="BV11" i="3"/>
  <c r="BW11" i="3"/>
  <c r="BO11" i="3"/>
  <c r="BP11" i="3"/>
  <c r="BQ11" i="3"/>
  <c r="BH19" i="3" a="1"/>
  <c r="BH19" i="3" s="1"/>
  <c r="BG12" i="3"/>
  <c r="BI11" i="3"/>
  <c r="BT16" i="3"/>
  <c r="BW16" i="3" s="1"/>
  <c r="BJ11" i="3"/>
  <c r="BK11" i="3"/>
  <c r="AV19" i="3" a="1"/>
  <c r="AV19" i="3" s="1"/>
  <c r="D19" i="3" a="1"/>
  <c r="D19" i="3" s="1"/>
  <c r="D35" i="3" s="1" a="1"/>
  <c r="D35" i="3" s="1"/>
  <c r="J19" i="3" a="1"/>
  <c r="J19" i="3" s="1"/>
  <c r="J35" i="3" s="1" a="1"/>
  <c r="J35" i="3" s="1"/>
  <c r="BB19" i="3" a="1"/>
  <c r="BB19" i="3" s="1"/>
  <c r="I19" i="3" a="1"/>
  <c r="I19" i="3" s="1"/>
  <c r="I36" i="3" s="1" a="1"/>
  <c r="I36" i="3" s="1"/>
  <c r="BE11" i="3"/>
  <c r="AY11" i="3"/>
  <c r="X36" i="3"/>
  <c r="BA12" i="3"/>
  <c r="BF16" i="3"/>
  <c r="BF11" i="3"/>
  <c r="BC11" i="3"/>
  <c r="BD11" i="3"/>
  <c r="AZ11" i="3"/>
  <c r="AX11" i="3"/>
  <c r="AW11" i="3"/>
  <c r="AG35" i="3"/>
  <c r="AJ36" i="3"/>
  <c r="X35" i="3"/>
  <c r="AM35" i="3"/>
  <c r="AD35" i="3"/>
  <c r="AA36" i="3"/>
  <c r="BN35" i="3" l="1"/>
  <c r="D36" i="3" a="1"/>
  <c r="D36" i="3" s="1"/>
  <c r="J36" i="3" a="1"/>
  <c r="J36" i="3" s="1"/>
  <c r="I35" i="3" a="1"/>
  <c r="I35" i="3" s="1"/>
  <c r="U19" i="3" a="1"/>
  <c r="U19" i="3" s="1"/>
  <c r="U36" i="3" s="1"/>
  <c r="AU12" i="3"/>
  <c r="BU16" i="3"/>
  <c r="BV16" i="3"/>
  <c r="BN14" i="3"/>
  <c r="BN36" i="3"/>
  <c r="BR19" i="3" a="1"/>
  <c r="BR19" i="3" s="1"/>
  <c r="BR36" i="3" s="1"/>
  <c r="BO16" i="3"/>
  <c r="BB14" i="3"/>
  <c r="BD14" i="3" s="1"/>
  <c r="BQ16" i="3"/>
  <c r="BK14" i="3"/>
  <c r="BH35" i="3"/>
  <c r="BH36" i="3"/>
  <c r="BL19" i="3" a="1"/>
  <c r="BL19" i="3" s="1"/>
  <c r="BJ14" i="3"/>
  <c r="BB16" i="3"/>
  <c r="BE16" i="3" s="1"/>
  <c r="AZ19" i="3" a="1"/>
  <c r="AZ19" i="3" s="1"/>
  <c r="BB36" i="3"/>
  <c r="BF19" i="3" a="1"/>
  <c r="BF19" i="3" s="1"/>
  <c r="BB35" i="3"/>
  <c r="AV14" i="3" a="1"/>
  <c r="AV14" i="3" s="1"/>
  <c r="AY14" i="3" s="1"/>
  <c r="AV16" i="3" a="1"/>
  <c r="AV16" i="3" s="1"/>
  <c r="AY16" i="3" s="1"/>
  <c r="AS19" i="3" a="1"/>
  <c r="AS19" i="3" s="1"/>
  <c r="AP19" i="3" a="1"/>
  <c r="AP19" i="3" s="1"/>
  <c r="C73" i="2"/>
  <c r="AO12" i="3" s="1"/>
  <c r="C65" i="2"/>
  <c r="AL12" i="3" s="1"/>
  <c r="C57" i="2"/>
  <c r="AI12" i="3" s="1"/>
  <c r="AF14" i="3"/>
  <c r="AF16" i="3"/>
  <c r="AF15" i="3"/>
  <c r="AC17" i="3"/>
  <c r="AC16" i="3"/>
  <c r="AC15" i="3"/>
  <c r="AC14" i="3"/>
  <c r="AF17" i="3"/>
  <c r="AF13" i="3"/>
  <c r="AF11" i="3"/>
  <c r="AC11" i="3"/>
  <c r="AE11" i="3" s="1"/>
  <c r="AC13" i="3"/>
  <c r="Z11" i="3"/>
  <c r="AB11" i="3" s="1"/>
  <c r="Z17" i="3"/>
  <c r="Z15" i="3"/>
  <c r="Z13" i="3"/>
  <c r="W11" i="3"/>
  <c r="Y11" i="3" s="1"/>
  <c r="W17" i="3"/>
  <c r="W15" i="3"/>
  <c r="W13" i="3"/>
  <c r="T17" i="3"/>
  <c r="T16" i="3"/>
  <c r="V16" i="3" s="1"/>
  <c r="T15" i="3"/>
  <c r="T14" i="3"/>
  <c r="V14" i="3" s="1"/>
  <c r="T13" i="3"/>
  <c r="V11" i="3"/>
  <c r="AY19" i="3" l="1" a="1"/>
  <c r="AY19" i="3" s="1"/>
  <c r="BE14" i="3"/>
  <c r="U35" i="3"/>
  <c r="BR35" i="3"/>
  <c r="BU14" i="3"/>
  <c r="BW14" i="3"/>
  <c r="BW19" i="3" s="1" a="1"/>
  <c r="BW19" i="3" s="1"/>
  <c r="BV14" i="3"/>
  <c r="BC14" i="3"/>
  <c r="BP14" i="3"/>
  <c r="BP19" i="3" s="1" a="1"/>
  <c r="BP19" i="3" s="1"/>
  <c r="BO14" i="3"/>
  <c r="BO19" i="3" s="1" a="1"/>
  <c r="BO19" i="3" s="1"/>
  <c r="BQ14" i="3"/>
  <c r="BQ19" i="3" s="1" a="1"/>
  <c r="BQ19" i="3" s="1"/>
  <c r="BF36" i="3"/>
  <c r="BL36" i="3"/>
  <c r="BL35" i="3"/>
  <c r="BC16" i="3"/>
  <c r="BD16" i="3"/>
  <c r="BD19" i="3" s="1" a="1"/>
  <c r="BD19" i="3" s="1"/>
  <c r="BD36" i="3" s="1"/>
  <c r="BK16" i="3"/>
  <c r="BK19" i="3" s="1" a="1"/>
  <c r="BK19" i="3" s="1"/>
  <c r="BI16" i="3"/>
  <c r="BI19" i="3" s="1" a="1"/>
  <c r="BI19" i="3" s="1"/>
  <c r="BJ16" i="3"/>
  <c r="BJ19" i="3" s="1" a="1"/>
  <c r="BJ19" i="3" s="1"/>
  <c r="AX14" i="3"/>
  <c r="AW16" i="3"/>
  <c r="AW14" i="3"/>
  <c r="AX16" i="3"/>
  <c r="BF35" i="3"/>
  <c r="V19" i="3" a="1"/>
  <c r="V19" i="3" s="1"/>
  <c r="T19" i="3" s="1" a="1"/>
  <c r="T19" i="3" s="1"/>
  <c r="AU19" i="3" a="1"/>
  <c r="AU19" i="3" s="1"/>
  <c r="AZ36" i="3"/>
  <c r="AZ35" i="3"/>
  <c r="AH11" i="3"/>
  <c r="AV36" i="3"/>
  <c r="AV35" i="3"/>
  <c r="AP36" i="3"/>
  <c r="AP35" i="3"/>
  <c r="AS36" i="3"/>
  <c r="AS35" i="3"/>
  <c r="BE19" i="3" l="1" a="1"/>
  <c r="BE19" i="3" s="1"/>
  <c r="BE35" i="3" s="1"/>
  <c r="BC19" i="3" a="1"/>
  <c r="BC19" i="3" s="1"/>
  <c r="BC35" i="3" s="1"/>
  <c r="BV19" i="3" a="1"/>
  <c r="BV19" i="3" s="1"/>
  <c r="BT35" i="3"/>
  <c r="BU19" i="3" a="1"/>
  <c r="BU19" i="3" s="1"/>
  <c r="BT36" i="3"/>
  <c r="BX19" i="3" a="1"/>
  <c r="BX19" i="3" s="1"/>
  <c r="BQ36" i="3"/>
  <c r="BQ35" i="3"/>
  <c r="BM19" i="3" a="1"/>
  <c r="BM19" i="3" s="1"/>
  <c r="BO35" i="3"/>
  <c r="BO36" i="3"/>
  <c r="BP35" i="3"/>
  <c r="BP36" i="3"/>
  <c r="BA19" i="3" a="1"/>
  <c r="BA19" i="3" s="1"/>
  <c r="BA36" i="3" s="1"/>
  <c r="BG19" i="3" a="1"/>
  <c r="BG19" i="3" s="1"/>
  <c r="BD35" i="3"/>
  <c r="BJ35" i="3"/>
  <c r="BJ36" i="3"/>
  <c r="BI35" i="3"/>
  <c r="BI36" i="3"/>
  <c r="BK35" i="3"/>
  <c r="BK36" i="3"/>
  <c r="AX19" i="3" a="1"/>
  <c r="AX19" i="3" s="1"/>
  <c r="AX35" i="3" s="1"/>
  <c r="AW19" i="3" a="1"/>
  <c r="AW19" i="3" s="1"/>
  <c r="AW35" i="3" s="1"/>
  <c r="AD16" i="3"/>
  <c r="AE16" i="3" s="1"/>
  <c r="AD14" i="3"/>
  <c r="AE14" i="3" s="1"/>
  <c r="AG14" i="3"/>
  <c r="AH14" i="3" s="1"/>
  <c r="AG16" i="3"/>
  <c r="AH16" i="3" s="1"/>
  <c r="AE19" i="3" l="1" a="1"/>
  <c r="AE19" i="3" s="1"/>
  <c r="AC19" i="3" s="1" a="1"/>
  <c r="AC19" i="3" s="1"/>
  <c r="BE36" i="3"/>
  <c r="AH19" i="3" a="1"/>
  <c r="AH19" i="3" s="1"/>
  <c r="AF19" i="3" s="1" a="1"/>
  <c r="AF19" i="3" s="1"/>
  <c r="BC36" i="3"/>
  <c r="BW36" i="3"/>
  <c r="BW35" i="3"/>
  <c r="BX36" i="3"/>
  <c r="BX35" i="3"/>
  <c r="BS19" i="3" a="1"/>
  <c r="BS19" i="3" s="1"/>
  <c r="BU35" i="3"/>
  <c r="BU36" i="3"/>
  <c r="BV35" i="3"/>
  <c r="BV36" i="3"/>
  <c r="BM35" i="3"/>
  <c r="BM36" i="3"/>
  <c r="BG35" i="3"/>
  <c r="BG36" i="3"/>
  <c r="AX36" i="3"/>
  <c r="AW36" i="3"/>
  <c r="BA35" i="3"/>
  <c r="V35" i="3"/>
  <c r="V36" i="3"/>
  <c r="F4" i="2"/>
  <c r="F3" i="2"/>
  <c r="C46" i="2"/>
  <c r="AF12" i="3" s="1"/>
  <c r="C38" i="2"/>
  <c r="AC12" i="3" s="1"/>
  <c r="C28" i="2"/>
  <c r="Z12" i="3" s="1"/>
  <c r="C20" i="2"/>
  <c r="W12" i="3" s="1"/>
  <c r="C10" i="2"/>
  <c r="T12" i="3" s="1"/>
  <c r="C32" i="2"/>
  <c r="Z16" i="3" s="1"/>
  <c r="AB16" i="3" s="1"/>
  <c r="C24" i="2"/>
  <c r="C30" i="2"/>
  <c r="Z14" i="3" s="1"/>
  <c r="C22" i="2"/>
  <c r="BS35" i="3" l="1"/>
  <c r="BS36" i="3"/>
  <c r="BY12" i="3"/>
  <c r="AH35" i="3"/>
  <c r="AH36" i="3"/>
  <c r="AE35" i="3"/>
  <c r="AE36" i="3"/>
  <c r="W16" i="3"/>
  <c r="Y16" i="3" s="1"/>
  <c r="W14" i="3"/>
  <c r="AB14" i="3"/>
  <c r="AB19" i="3" s="1" a="1"/>
  <c r="AB19" i="3" s="1"/>
  <c r="Z19" i="3" s="1" a="1"/>
  <c r="Z19" i="3" s="1"/>
  <c r="T36" i="3" l="1"/>
  <c r="T35" i="3"/>
  <c r="AF36" i="3"/>
  <c r="AF35" i="3"/>
  <c r="AC35" i="3"/>
  <c r="AC36" i="3"/>
  <c r="Y14" i="3"/>
  <c r="Y19" i="3" s="1" a="1"/>
  <c r="Y19" i="3" s="1"/>
  <c r="W19" i="3" s="1" a="1"/>
  <c r="W19" i="3" s="1"/>
  <c r="AM14" i="3"/>
  <c r="AN14" i="3" s="1"/>
  <c r="AJ14" i="3"/>
  <c r="AK14" i="3" s="1"/>
  <c r="AM16" i="3"/>
  <c r="AN16" i="3" s="1"/>
  <c r="AN19" i="3" l="1" a="1"/>
  <c r="AN19" i="3" s="1"/>
  <c r="AL19" i="3" s="1" a="1"/>
  <c r="AL19" i="3" s="1"/>
  <c r="AB36" i="3"/>
  <c r="AB35" i="3"/>
  <c r="AP14" i="3"/>
  <c r="AQ14" i="3" s="1"/>
  <c r="AP16" i="3"/>
  <c r="AQ16" i="3" s="1"/>
  <c r="AJ16" i="3"/>
  <c r="AK16" i="3" s="1"/>
  <c r="AK19" i="3" s="1" a="1"/>
  <c r="AK19" i="3" s="1"/>
  <c r="AQ19" i="3" l="1" a="1"/>
  <c r="AQ19" i="3" s="1"/>
  <c r="AO19" i="3" s="1" a="1"/>
  <c r="AO19" i="3" s="1"/>
  <c r="AI19" i="3" a="1"/>
  <c r="AI19" i="3" s="1"/>
  <c r="Z36" i="3"/>
  <c r="Z35" i="3"/>
  <c r="AS16" i="3" a="1"/>
  <c r="AS16" i="3" s="1"/>
  <c r="AT16" i="3" s="1"/>
  <c r="AS14" i="3" a="1"/>
  <c r="AS14" i="3" s="1"/>
  <c r="AT14" i="3" s="1"/>
  <c r="AN35" i="3"/>
  <c r="AN36" i="3"/>
  <c r="Y35" i="3"/>
  <c r="Y36" i="3"/>
  <c r="AT19" i="3" l="1" a="1"/>
  <c r="AT19" i="3" s="1"/>
  <c r="AL36" i="3"/>
  <c r="AL35" i="3"/>
  <c r="AY36" i="3"/>
  <c r="AY35" i="3"/>
  <c r="AK36" i="3"/>
  <c r="AK35" i="3"/>
  <c r="AR19" i="3" l="1" a="1"/>
  <c r="AI36" i="3"/>
  <c r="AI35" i="3"/>
  <c r="AQ35" i="3"/>
  <c r="W36" i="3"/>
  <c r="W35" i="3"/>
  <c r="AU36" i="3"/>
  <c r="AU35" i="3"/>
  <c r="AT35" i="3"/>
  <c r="AT36" i="3"/>
  <c r="AR19" i="3" l="1"/>
  <c r="BY19" i="3" s="1" a="1"/>
  <c r="BY19" i="3" s="1"/>
  <c r="AQ36" i="3"/>
  <c r="AO35" i="3"/>
  <c r="AO36" i="3"/>
  <c r="AR36" i="3" l="1"/>
  <c r="BY35" i="3"/>
  <c r="AR35" i="3"/>
  <c r="BY36" i="3" l="1"/>
  <c r="BZ19" i="3" s="1" a="1"/>
  <c r="BZ1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V11" authorId="0" shapeId="0" xr:uid="{26A3829E-B5C9-4FE9-AFFA-E9A2F27B26B2}">
      <text>
        <r>
          <rPr>
            <b/>
            <sz val="9"/>
            <color indexed="81"/>
            <rFont val="Tahoma"/>
            <family val="2"/>
          </rPr>
          <t>Auteur:</t>
        </r>
        <r>
          <rPr>
            <sz val="9"/>
            <color indexed="81"/>
            <rFont val="Tahoma"/>
            <family val="2"/>
          </rPr>
          <t xml:space="preserve">
Contient une vérification</t>
        </r>
      </text>
    </comment>
    <comment ref="Y11" authorId="0" shapeId="0" xr:uid="{222AB51D-CD16-4BF7-8FD4-CA5BEAEB2577}">
      <text>
        <r>
          <rPr>
            <b/>
            <sz val="9"/>
            <color indexed="81"/>
            <rFont val="Tahoma"/>
            <family val="2"/>
          </rPr>
          <t>Auteur:</t>
        </r>
        <r>
          <rPr>
            <sz val="9"/>
            <color indexed="81"/>
            <rFont val="Tahoma"/>
            <family val="2"/>
          </rPr>
          <t xml:space="preserve">
Contient une vérification</t>
        </r>
      </text>
    </comment>
    <comment ref="AB11" authorId="0" shapeId="0" xr:uid="{9B2DAB49-C6EC-4337-A86D-C979F8BA3DA9}">
      <text>
        <r>
          <rPr>
            <b/>
            <sz val="9"/>
            <color indexed="81"/>
            <rFont val="Tahoma"/>
            <family val="2"/>
          </rPr>
          <t>Auteur:</t>
        </r>
        <r>
          <rPr>
            <sz val="9"/>
            <color indexed="81"/>
            <rFont val="Tahoma"/>
            <family val="2"/>
          </rPr>
          <t xml:space="preserve">
Contient une vérification</t>
        </r>
      </text>
    </comment>
    <comment ref="AE11" authorId="0" shapeId="0" xr:uid="{61B67EFC-BCEC-4903-931D-B2B8B00B05F6}">
      <text>
        <r>
          <rPr>
            <b/>
            <sz val="9"/>
            <color indexed="81"/>
            <rFont val="Tahoma"/>
            <family val="2"/>
          </rPr>
          <t>Auteur:</t>
        </r>
        <r>
          <rPr>
            <sz val="9"/>
            <color indexed="81"/>
            <rFont val="Tahoma"/>
            <family val="2"/>
          </rPr>
          <t xml:space="preserve">
Contient une vérification</t>
        </r>
      </text>
    </comment>
    <comment ref="AH11" authorId="0" shapeId="0" xr:uid="{0D7AD837-7857-4E2F-8F64-FC7825A87204}">
      <text>
        <r>
          <rPr>
            <b/>
            <sz val="9"/>
            <color indexed="81"/>
            <rFont val="Tahoma"/>
            <family val="2"/>
          </rPr>
          <t>Auteur:</t>
        </r>
        <r>
          <rPr>
            <sz val="9"/>
            <color indexed="81"/>
            <rFont val="Tahoma"/>
            <family val="2"/>
          </rPr>
          <t xml:space="preserve">
Contient une vérification</t>
        </r>
      </text>
    </comment>
    <comment ref="AK11" authorId="0" shapeId="0" xr:uid="{4B8DEFCE-21A5-4576-80F8-3EABB3AA353E}">
      <text>
        <r>
          <rPr>
            <b/>
            <sz val="9"/>
            <color indexed="81"/>
            <rFont val="Tahoma"/>
            <family val="2"/>
          </rPr>
          <t>Auteur:</t>
        </r>
        <r>
          <rPr>
            <sz val="9"/>
            <color indexed="81"/>
            <rFont val="Tahoma"/>
            <family val="2"/>
          </rPr>
          <t xml:space="preserve">
Contient une vérification</t>
        </r>
      </text>
    </comment>
    <comment ref="AN11" authorId="0" shapeId="0" xr:uid="{5B1C04D7-EFAC-44B0-B3B0-7A1A4A4DB026}">
      <text>
        <r>
          <rPr>
            <b/>
            <sz val="9"/>
            <color indexed="81"/>
            <rFont val="Tahoma"/>
            <family val="2"/>
          </rPr>
          <t>Auteur:</t>
        </r>
        <r>
          <rPr>
            <sz val="9"/>
            <color indexed="81"/>
            <rFont val="Tahoma"/>
            <family val="2"/>
          </rPr>
          <t xml:space="preserve">
Contient une vérification</t>
        </r>
      </text>
    </comment>
    <comment ref="AQ11" authorId="0" shapeId="0" xr:uid="{3A210C58-C4F2-424C-8194-053470FEFD20}">
      <text>
        <r>
          <rPr>
            <b/>
            <sz val="9"/>
            <color indexed="81"/>
            <rFont val="Tahoma"/>
            <family val="2"/>
          </rPr>
          <t>Auteur:</t>
        </r>
        <r>
          <rPr>
            <sz val="9"/>
            <color indexed="81"/>
            <rFont val="Tahoma"/>
            <family val="2"/>
          </rPr>
          <t xml:space="preserve">
Contient une vérification</t>
        </r>
      </text>
    </comment>
    <comment ref="AT11" authorId="0" shapeId="0" xr:uid="{579152DB-7B71-43F9-899B-CE498EA47529}">
      <text>
        <r>
          <rPr>
            <b/>
            <sz val="9"/>
            <color indexed="81"/>
            <rFont val="Tahoma"/>
            <family val="2"/>
          </rPr>
          <t>Auteur:</t>
        </r>
        <r>
          <rPr>
            <sz val="9"/>
            <color indexed="81"/>
            <rFont val="Tahoma"/>
            <family val="2"/>
          </rPr>
          <t xml:space="preserve">
Contient une vérification</t>
        </r>
      </text>
    </comment>
    <comment ref="AW11" authorId="0" shapeId="0" xr:uid="{769C9B86-A13E-4969-8BFB-8D740D2A899B}">
      <text>
        <r>
          <rPr>
            <b/>
            <sz val="9"/>
            <color indexed="81"/>
            <rFont val="Tahoma"/>
            <family val="2"/>
          </rPr>
          <t>Auteur:</t>
        </r>
        <r>
          <rPr>
            <sz val="9"/>
            <color indexed="81"/>
            <rFont val="Tahoma"/>
            <family val="2"/>
          </rPr>
          <t xml:space="preserve">
Contient une vérification</t>
        </r>
      </text>
    </comment>
    <comment ref="AX11" authorId="0" shapeId="0" xr:uid="{B580D59E-46A8-495A-B502-E9757EDAD2FC}">
      <text>
        <r>
          <rPr>
            <b/>
            <sz val="9"/>
            <color indexed="81"/>
            <rFont val="Tahoma"/>
            <family val="2"/>
          </rPr>
          <t>Auteur:</t>
        </r>
        <r>
          <rPr>
            <sz val="9"/>
            <color indexed="81"/>
            <rFont val="Tahoma"/>
            <family val="2"/>
          </rPr>
          <t xml:space="preserve">
Contient une vérification</t>
        </r>
      </text>
    </comment>
    <comment ref="AY11" authorId="0" shapeId="0" xr:uid="{AF6E0975-2972-46E5-B793-062593BC7E43}">
      <text>
        <r>
          <rPr>
            <b/>
            <sz val="9"/>
            <color indexed="81"/>
            <rFont val="Tahoma"/>
            <family val="2"/>
          </rPr>
          <t>Auteur:</t>
        </r>
        <r>
          <rPr>
            <sz val="9"/>
            <color indexed="81"/>
            <rFont val="Tahoma"/>
            <family val="2"/>
          </rPr>
          <t xml:space="preserve">
Contient une vérification</t>
        </r>
      </text>
    </comment>
    <comment ref="AZ11" authorId="0" shapeId="0" xr:uid="{BA91D15E-4962-4B53-ADD5-2759BF6DE604}">
      <text>
        <r>
          <rPr>
            <b/>
            <sz val="9"/>
            <color indexed="81"/>
            <rFont val="Tahoma"/>
            <family val="2"/>
          </rPr>
          <t>Auteur:</t>
        </r>
        <r>
          <rPr>
            <sz val="9"/>
            <color indexed="81"/>
            <rFont val="Tahoma"/>
            <family val="2"/>
          </rPr>
          <t xml:space="preserve">
Contient une vérification</t>
        </r>
      </text>
    </comment>
    <comment ref="BC11" authorId="0" shapeId="0" xr:uid="{0826304A-308A-4022-A8BC-3FB11BA8F777}">
      <text>
        <r>
          <rPr>
            <b/>
            <sz val="9"/>
            <color indexed="81"/>
            <rFont val="Tahoma"/>
            <family val="2"/>
          </rPr>
          <t>Auteur:</t>
        </r>
        <r>
          <rPr>
            <sz val="9"/>
            <color indexed="81"/>
            <rFont val="Tahoma"/>
            <family val="2"/>
          </rPr>
          <t xml:space="preserve">
Contient une vérification</t>
        </r>
      </text>
    </comment>
    <comment ref="BD11" authorId="0" shapeId="0" xr:uid="{FED1521E-5700-4F8C-91E9-215915E62CD5}">
      <text>
        <r>
          <rPr>
            <b/>
            <sz val="9"/>
            <color indexed="81"/>
            <rFont val="Tahoma"/>
            <family val="2"/>
          </rPr>
          <t>Auteur:</t>
        </r>
        <r>
          <rPr>
            <sz val="9"/>
            <color indexed="81"/>
            <rFont val="Tahoma"/>
            <family val="2"/>
          </rPr>
          <t xml:space="preserve">
Contient une vérification</t>
        </r>
      </text>
    </comment>
    <comment ref="BE11" authorId="0" shapeId="0" xr:uid="{7FF65952-D009-4F23-B99D-2EB0C6E37EC4}">
      <text>
        <r>
          <rPr>
            <b/>
            <sz val="9"/>
            <color indexed="81"/>
            <rFont val="Tahoma"/>
            <family val="2"/>
          </rPr>
          <t>Auteur:</t>
        </r>
        <r>
          <rPr>
            <sz val="9"/>
            <color indexed="81"/>
            <rFont val="Tahoma"/>
            <family val="2"/>
          </rPr>
          <t xml:space="preserve">
Contient une vérification</t>
        </r>
      </text>
    </comment>
    <comment ref="BF11" authorId="0" shapeId="0" xr:uid="{26125472-36AF-4C9B-9D57-DBFD1EE74EC9}">
      <text>
        <r>
          <rPr>
            <b/>
            <sz val="9"/>
            <color indexed="81"/>
            <rFont val="Tahoma"/>
            <family val="2"/>
          </rPr>
          <t>Auteur:</t>
        </r>
        <r>
          <rPr>
            <sz val="9"/>
            <color indexed="81"/>
            <rFont val="Tahoma"/>
            <family val="2"/>
          </rPr>
          <t xml:space="preserve">
Contient une vérification</t>
        </r>
      </text>
    </comment>
    <comment ref="BI11" authorId="0" shapeId="0" xr:uid="{5EFB66F5-7281-4791-92E8-57E46F8911BB}">
      <text>
        <r>
          <rPr>
            <b/>
            <sz val="9"/>
            <color indexed="81"/>
            <rFont val="Tahoma"/>
            <family val="2"/>
          </rPr>
          <t>Auteur:</t>
        </r>
        <r>
          <rPr>
            <sz val="9"/>
            <color indexed="81"/>
            <rFont val="Tahoma"/>
            <family val="2"/>
          </rPr>
          <t xml:space="preserve">
Contient une vérification</t>
        </r>
      </text>
    </comment>
    <comment ref="BJ11" authorId="0" shapeId="0" xr:uid="{984CF7D7-28A3-4495-82BF-D1F20AFD632A}">
      <text>
        <r>
          <rPr>
            <b/>
            <sz val="9"/>
            <color indexed="81"/>
            <rFont val="Tahoma"/>
            <family val="2"/>
          </rPr>
          <t>Auteur:</t>
        </r>
        <r>
          <rPr>
            <sz val="9"/>
            <color indexed="81"/>
            <rFont val="Tahoma"/>
            <family val="2"/>
          </rPr>
          <t xml:space="preserve">
Contient une vérification</t>
        </r>
      </text>
    </comment>
    <comment ref="BK11" authorId="0" shapeId="0" xr:uid="{EB8284A4-6BCB-4FFD-B9A4-CBE9889433D8}">
      <text>
        <r>
          <rPr>
            <b/>
            <sz val="9"/>
            <color indexed="81"/>
            <rFont val="Tahoma"/>
            <family val="2"/>
          </rPr>
          <t>Auteur:</t>
        </r>
        <r>
          <rPr>
            <sz val="9"/>
            <color indexed="81"/>
            <rFont val="Tahoma"/>
            <family val="2"/>
          </rPr>
          <t xml:space="preserve">
Contient une vérification</t>
        </r>
      </text>
    </comment>
    <comment ref="BL11" authorId="0" shapeId="0" xr:uid="{F769B935-01AC-4942-8402-B183888C995A}">
      <text>
        <r>
          <rPr>
            <b/>
            <sz val="9"/>
            <color indexed="81"/>
            <rFont val="Tahoma"/>
            <family val="2"/>
          </rPr>
          <t>Auteur:</t>
        </r>
        <r>
          <rPr>
            <sz val="9"/>
            <color indexed="81"/>
            <rFont val="Tahoma"/>
            <family val="2"/>
          </rPr>
          <t xml:space="preserve">
Contient une vérification</t>
        </r>
      </text>
    </comment>
    <comment ref="BO11" authorId="0" shapeId="0" xr:uid="{41D23459-45AB-4D39-87ED-ED3B405A6DEE}">
      <text>
        <r>
          <rPr>
            <b/>
            <sz val="9"/>
            <color indexed="81"/>
            <rFont val="Tahoma"/>
            <family val="2"/>
          </rPr>
          <t>Auteur:</t>
        </r>
        <r>
          <rPr>
            <sz val="9"/>
            <color indexed="81"/>
            <rFont val="Tahoma"/>
            <family val="2"/>
          </rPr>
          <t xml:space="preserve">
Contient une vérification</t>
        </r>
      </text>
    </comment>
    <comment ref="BP11" authorId="0" shapeId="0" xr:uid="{D569ADDE-4D2F-41CD-8BFC-90A0B38D647D}">
      <text>
        <r>
          <rPr>
            <b/>
            <sz val="9"/>
            <color indexed="81"/>
            <rFont val="Tahoma"/>
            <family val="2"/>
          </rPr>
          <t>Auteur:</t>
        </r>
        <r>
          <rPr>
            <sz val="9"/>
            <color indexed="81"/>
            <rFont val="Tahoma"/>
            <family val="2"/>
          </rPr>
          <t xml:space="preserve">
Contient une vérification</t>
        </r>
      </text>
    </comment>
    <comment ref="BQ11" authorId="0" shapeId="0" xr:uid="{A09889EB-F6FB-46EB-8C9B-112AE7E74025}">
      <text>
        <r>
          <rPr>
            <b/>
            <sz val="9"/>
            <color indexed="81"/>
            <rFont val="Tahoma"/>
            <family val="2"/>
          </rPr>
          <t>Auteur:</t>
        </r>
        <r>
          <rPr>
            <sz val="9"/>
            <color indexed="81"/>
            <rFont val="Tahoma"/>
            <family val="2"/>
          </rPr>
          <t xml:space="preserve">
Contient une vérification</t>
        </r>
      </text>
    </comment>
    <comment ref="BR11" authorId="0" shapeId="0" xr:uid="{672FBE95-2164-4590-9FE5-FEA139B66907}">
      <text>
        <r>
          <rPr>
            <b/>
            <sz val="9"/>
            <color indexed="81"/>
            <rFont val="Tahoma"/>
            <family val="2"/>
          </rPr>
          <t>Auteur:</t>
        </r>
        <r>
          <rPr>
            <sz val="9"/>
            <color indexed="81"/>
            <rFont val="Tahoma"/>
            <family val="2"/>
          </rPr>
          <t xml:space="preserve">
Contient une vérification</t>
        </r>
      </text>
    </comment>
    <comment ref="BU11" authorId="0" shapeId="0" xr:uid="{52B4BDCB-491C-46E8-A4C2-E8020C367C54}">
      <text>
        <r>
          <rPr>
            <b/>
            <sz val="9"/>
            <color indexed="81"/>
            <rFont val="Tahoma"/>
            <family val="2"/>
          </rPr>
          <t>Auteur:</t>
        </r>
        <r>
          <rPr>
            <sz val="9"/>
            <color indexed="81"/>
            <rFont val="Tahoma"/>
            <family val="2"/>
          </rPr>
          <t xml:space="preserve">
Contient une vérification</t>
        </r>
      </text>
    </comment>
    <comment ref="BV11" authorId="0" shapeId="0" xr:uid="{9A10770E-8F8F-4253-85BF-145B3E3ADDDE}">
      <text>
        <r>
          <rPr>
            <b/>
            <sz val="9"/>
            <color indexed="81"/>
            <rFont val="Tahoma"/>
            <family val="2"/>
          </rPr>
          <t>Auteur:</t>
        </r>
        <r>
          <rPr>
            <sz val="9"/>
            <color indexed="81"/>
            <rFont val="Tahoma"/>
            <family val="2"/>
          </rPr>
          <t xml:space="preserve">
Contient une vérification</t>
        </r>
      </text>
    </comment>
    <comment ref="BW11" authorId="0" shapeId="0" xr:uid="{55751E91-D860-4712-A350-65BBDE2F4D23}">
      <text>
        <r>
          <rPr>
            <b/>
            <sz val="9"/>
            <color indexed="81"/>
            <rFont val="Tahoma"/>
            <family val="2"/>
          </rPr>
          <t>Auteur:</t>
        </r>
        <r>
          <rPr>
            <sz val="9"/>
            <color indexed="81"/>
            <rFont val="Tahoma"/>
            <family val="2"/>
          </rPr>
          <t xml:space="preserve">
Contient une vérification</t>
        </r>
      </text>
    </comment>
    <comment ref="BX11" authorId="0" shapeId="0" xr:uid="{F2E3D6F0-D992-4F8B-840B-8D43ABA25A63}">
      <text>
        <r>
          <rPr>
            <b/>
            <sz val="9"/>
            <color indexed="81"/>
            <rFont val="Tahoma"/>
            <family val="2"/>
          </rPr>
          <t>Auteur:</t>
        </r>
        <r>
          <rPr>
            <sz val="9"/>
            <color indexed="81"/>
            <rFont val="Tahoma"/>
            <family val="2"/>
          </rPr>
          <t xml:space="preserve">
Contient une vérification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<sst xmlns="http://schemas.openxmlformats.org/spreadsheetml/2006/main" count="575" uniqueCount="231">
  <si>
    <t>SAU</t>
  </si>
  <si>
    <t>Commune et division</t>
  </si>
  <si>
    <t>Contenance</t>
  </si>
  <si>
    <t>MIN</t>
  </si>
  <si>
    <t>MAX</t>
  </si>
  <si>
    <t>AGE</t>
  </si>
  <si>
    <t>RESULTAT</t>
  </si>
  <si>
    <t>SCORE TOTAL</t>
  </si>
  <si>
    <t>Points critère 5</t>
  </si>
  <si>
    <t>Points critère 6</t>
  </si>
  <si>
    <t>Aide</t>
  </si>
  <si>
    <t>Unité</t>
  </si>
  <si>
    <t>ca</t>
  </si>
  <si>
    <t>Nom du paramètre</t>
  </si>
  <si>
    <t>A encoder sur base de la législation</t>
  </si>
  <si>
    <t>Ne peut pas être modifié. Fixé par le CWA</t>
  </si>
  <si>
    <t>Valeur basse du critère</t>
  </si>
  <si>
    <t>Valeur haute du critère</t>
  </si>
  <si>
    <t>Type de critère</t>
  </si>
  <si>
    <t>Type de critères</t>
  </si>
  <si>
    <t>Explication</t>
  </si>
  <si>
    <t>Exemple</t>
  </si>
  <si>
    <t>00_PasdeCritère</t>
  </si>
  <si>
    <t>Points si inférieur à la valeur basse</t>
  </si>
  <si>
    <t>Points si entre la valeur basse et haute</t>
  </si>
  <si>
    <t>Points si supérieur à la valeur haute</t>
  </si>
  <si>
    <t>Points</t>
  </si>
  <si>
    <t>années</t>
  </si>
  <si>
    <t>Non Applicable</t>
  </si>
  <si>
    <t>Fixé au SmR</t>
  </si>
  <si>
    <t>Fixé au SMR</t>
  </si>
  <si>
    <t>Id Type de Critère</t>
  </si>
  <si>
    <t>Mots clés</t>
  </si>
  <si>
    <t>ValeurMinimale</t>
  </si>
  <si>
    <t>ValeurMaximale</t>
  </si>
  <si>
    <t>m</t>
  </si>
  <si>
    <t>Erreur d'encodage</t>
  </si>
  <si>
    <t>Calculé automatiquement sur base des soumissions</t>
  </si>
  <si>
    <t>Age</t>
  </si>
  <si>
    <t>Maximum attribuable des Points</t>
  </si>
  <si>
    <t>Critère 5</t>
  </si>
  <si>
    <t>Critère 1</t>
  </si>
  <si>
    <t>Distance par rapport à la limite de la parcelle la plus proche [m]</t>
  </si>
  <si>
    <t>Surface Agricole Utile (SAU) [ca]</t>
  </si>
  <si>
    <t>Date de naissance [jj/mm/aaaa]</t>
  </si>
  <si>
    <t>Numéro du lot</t>
  </si>
  <si>
    <t>Nom du lot</t>
  </si>
  <si>
    <t>Critère 3.1</t>
  </si>
  <si>
    <t>Critère 3.2</t>
  </si>
  <si>
    <t>Description du bien à attribuer</t>
  </si>
  <si>
    <t>Liste des soumissionnaires</t>
  </si>
  <si>
    <t>Calculé pour Critère 1</t>
  </si>
  <si>
    <t>N° Param</t>
  </si>
  <si>
    <t>Points critère 1</t>
  </si>
  <si>
    <t>Valeur utilisée pour Critère 1</t>
  </si>
  <si>
    <t>Calcul selon la règle ci-dessous</t>
  </si>
  <si>
    <t>Points critère 2.1</t>
  </si>
  <si>
    <t>A. Données générales à la soumission</t>
  </si>
  <si>
    <t xml:space="preserve">B. Critères d’attribution minimaux </t>
  </si>
  <si>
    <t>2.2 Seconde partie - majoration</t>
  </si>
  <si>
    <t>Points critère 2.2</t>
  </si>
  <si>
    <t>Valeur utilisée pour Critère 2.2</t>
  </si>
  <si>
    <t>Valeur utilisée pour Critère 2.1</t>
  </si>
  <si>
    <t>Critère 2.1</t>
  </si>
  <si>
    <t>SAU + Contenance Attribuée</t>
  </si>
  <si>
    <t>Critère 2.2</t>
  </si>
  <si>
    <t>Points critère 3.1</t>
  </si>
  <si>
    <t>Valeur utilisée pour Critère 3.1</t>
  </si>
  <si>
    <t>Points critère 3.2</t>
  </si>
  <si>
    <t>Valeur utilisée pour Critère 3.2</t>
  </si>
  <si>
    <t>Distance parcelle la plus proche</t>
  </si>
  <si>
    <t>Distance unité exploitation</t>
  </si>
  <si>
    <t>Ligne Valide</t>
  </si>
  <si>
    <t>Age à la date limite de soumission des offres [Année entamée]</t>
  </si>
  <si>
    <t>Valeur Min/Max des soumissionaires</t>
  </si>
  <si>
    <t>3.1 Première partie - Distance par rapport à la limite de la parcelle la plus proche</t>
  </si>
  <si>
    <t>3.2 Seconde partie - Distance par rapport à l’adresse de l’unité d’exploitation</t>
  </si>
  <si>
    <t>2.1 Première partie - critère de base</t>
  </si>
  <si>
    <t>4.1. Sans tenir compte de la superficie du bien à attribuer</t>
  </si>
  <si>
    <t>4.1.1 Première partie - Sur base de la SAU initiale</t>
  </si>
  <si>
    <t>4.1.2 Deuxième partie - Sur base de la surface des biens appartenant à un propriétaire public</t>
  </si>
  <si>
    <t>4.1.3 Troisième partie - Sur base du % de surface des biens appartenant à un propriétaire public</t>
  </si>
  <si>
    <t>Critère 4.1.1</t>
  </si>
  <si>
    <t>Critère 4.1.2</t>
  </si>
  <si>
    <t>Points critère 4.1.1</t>
  </si>
  <si>
    <t>Valeur utilisée pour Critère 4.1.1</t>
  </si>
  <si>
    <t>Points critère 4.1.2</t>
  </si>
  <si>
    <t>Valeur utilisée pour Critère 4.1.2</t>
  </si>
  <si>
    <t>Points critère 4.1.3</t>
  </si>
  <si>
    <t>Valeur utilisée pour Critère 4.1.3</t>
  </si>
  <si>
    <t>Critère 4.1.3</t>
  </si>
  <si>
    <t>Surface biens publics</t>
  </si>
  <si>
    <t>Proportion de biens publics</t>
  </si>
  <si>
    <t>dont Surface de biens publics [ca]</t>
  </si>
  <si>
    <t>NA</t>
  </si>
  <si>
    <t>4.2. En tenant compte de la superficie du bien à attribuer</t>
  </si>
  <si>
    <t>Critère 4.2</t>
  </si>
  <si>
    <t>Critère 6</t>
  </si>
  <si>
    <t>Critère 7</t>
  </si>
  <si>
    <t>Critère 8</t>
  </si>
  <si>
    <t>Critère 9</t>
  </si>
  <si>
    <t>Points critère 4.2</t>
  </si>
  <si>
    <t>Valeur utilisée pour Critère 4.2</t>
  </si>
  <si>
    <t>%</t>
  </si>
  <si>
    <t>Proportion de biens publics après</t>
  </si>
  <si>
    <t>ZONE TECHNIQUE</t>
  </si>
  <si>
    <t>A NE PAS IMPRIMER</t>
  </si>
  <si>
    <t>Valeur utilisée pour Critère 5</t>
  </si>
  <si>
    <t>5. Critère libre N°5</t>
  </si>
  <si>
    <t>Description de votre critère</t>
  </si>
  <si>
    <t>Distance par rapport à l’adresse de l’unité de production la plus proche [m]</t>
  </si>
  <si>
    <t>20_Manuel</t>
  </si>
  <si>
    <t>Calculé pour Critère 4.1.3</t>
  </si>
  <si>
    <t>Calculé pour Critère 4.2</t>
  </si>
  <si>
    <t>Critères 2, 4.1.1, 4.1.3, 4.2</t>
  </si>
  <si>
    <t>Critères 4.1.2, 4.2</t>
  </si>
  <si>
    <t>Rapport superficie bien public / SAU avant attribution</t>
  </si>
  <si>
    <t>Rapport superficie bien public / SAU si attribution</t>
  </si>
  <si>
    <t>Résultat</t>
  </si>
  <si>
    <t>Description du Critère N° 5 (A faire dans "Données Générales")</t>
  </si>
  <si>
    <t>Non utilisé</t>
  </si>
  <si>
    <t>Texte Pts Milieu</t>
  </si>
  <si>
    <t>Le critère ne sera pas utilisé pour l'évaluation des offres</t>
  </si>
  <si>
    <t>Valeur (à encoder si la cellule est en jaune pâle)</t>
  </si>
  <si>
    <t>Min / Max Pts</t>
  </si>
  <si>
    <t>6. Critère libre N°6</t>
  </si>
  <si>
    <t>Description du Critère N° 6 (A faire dans "Données Générales")</t>
  </si>
  <si>
    <t>Valeur utilisée pour Critère 6</t>
  </si>
  <si>
    <t>Les contacts</t>
  </si>
  <si>
    <t>Email</t>
  </si>
  <si>
    <t>Le Document</t>
  </si>
  <si>
    <t>Date de Creation du document</t>
  </si>
  <si>
    <t>Auteur du documents</t>
  </si>
  <si>
    <t>Statut</t>
  </si>
  <si>
    <t>Version doc</t>
  </si>
  <si>
    <t>Date version</t>
  </si>
  <si>
    <t>Destinataire(s) de la diffusion</t>
  </si>
  <si>
    <t>Auteur de la derniere modification</t>
  </si>
  <si>
    <t>Date de la derniere modification</t>
  </si>
  <si>
    <t>Documents de référence</t>
  </si>
  <si>
    <t>Organisation</t>
  </si>
  <si>
    <t>SPW ARNE</t>
  </si>
  <si>
    <t>DAFoR</t>
  </si>
  <si>
    <t>Arrondi à la … décimale</t>
  </si>
  <si>
    <t>Nom</t>
  </si>
  <si>
    <t>Prénom</t>
  </si>
  <si>
    <t>SPW ARNE - Direction de l’Aménagement foncier rural</t>
  </si>
  <si>
    <t>Avenue Prince de Liège, 7</t>
  </si>
  <si>
    <t>5100 Jambes</t>
  </si>
  <si>
    <t>Adresse</t>
  </si>
  <si>
    <t>bailaferme@spw.wallonie.be</t>
  </si>
  <si>
    <t>Version Bêta</t>
  </si>
  <si>
    <t>[1]</t>
  </si>
  <si>
    <t>https://agriculture.wallonie.be/bail-a-ferme</t>
  </si>
  <si>
    <t>Portail de l'agriculture wallone, Bail à ferme :</t>
  </si>
  <si>
    <r>
      <t>Superficie minimale de Rentabilité (</t>
    </r>
    <r>
      <rPr>
        <b/>
        <sz val="10"/>
        <color theme="1"/>
        <rFont val="Calibri"/>
        <family val="2"/>
        <scheme val="minor"/>
      </rPr>
      <t>SmR</t>
    </r>
    <r>
      <rPr>
        <sz val="10"/>
        <color theme="1"/>
        <rFont val="Calibri"/>
        <family val="2"/>
        <scheme val="minor"/>
      </rPr>
      <t>)</t>
    </r>
  </si>
  <si>
    <r>
      <t>Superficie Maximale de Rentabilité (</t>
    </r>
    <r>
      <rPr>
        <b/>
        <sz val="10"/>
        <color theme="1"/>
        <rFont val="Calibri"/>
        <family val="2"/>
        <scheme val="minor"/>
      </rPr>
      <t>SMR</t>
    </r>
    <r>
      <rPr>
        <sz val="10"/>
        <color theme="1"/>
        <rFont val="Calibri"/>
        <family val="2"/>
        <scheme val="minor"/>
      </rPr>
      <t>)</t>
    </r>
  </si>
  <si>
    <r>
      <t xml:space="preserve">1 </t>
    </r>
    <r>
      <rPr>
        <u/>
        <sz val="10"/>
        <color theme="1"/>
        <rFont val="Calibri"/>
        <family val="2"/>
        <scheme val="minor"/>
      </rPr>
      <t>Age du plus jeune soumissionnaire</t>
    </r>
  </si>
  <si>
    <r>
      <t xml:space="preserve">2 </t>
    </r>
    <r>
      <rPr>
        <u/>
        <sz val="10"/>
        <color theme="1"/>
        <rFont val="Calibri"/>
        <family val="2"/>
        <scheme val="minor"/>
      </rPr>
      <t>Superficie Agricole Utilisée (SAU)</t>
    </r>
  </si>
  <si>
    <r>
      <t xml:space="preserve">3 </t>
    </r>
    <r>
      <rPr>
        <u/>
        <sz val="10"/>
        <color theme="1"/>
        <rFont val="Calibri"/>
        <family val="2"/>
        <scheme val="minor"/>
      </rPr>
      <t>Proximité de l'exploitation par rapport au bien</t>
    </r>
  </si>
  <si>
    <r>
      <t xml:space="preserve">4. </t>
    </r>
    <r>
      <rPr>
        <u/>
        <sz val="10"/>
        <color theme="1"/>
        <rFont val="Calibri"/>
        <family val="2"/>
        <scheme val="minor"/>
      </rPr>
      <t>Distribution des biens appartenant à un propriétaire public</t>
    </r>
  </si>
  <si>
    <r>
      <t>Date Limite de réception des soumissions (</t>
    </r>
    <r>
      <rPr>
        <b/>
        <sz val="10"/>
        <color theme="1"/>
        <rFont val="Calibri"/>
        <family val="2"/>
        <scheme val="minor"/>
      </rPr>
      <t>DLimS</t>
    </r>
    <r>
      <rPr>
        <sz val="10"/>
        <color theme="1"/>
        <rFont val="Calibri"/>
        <family val="2"/>
        <scheme val="minor"/>
      </rPr>
      <t>)</t>
    </r>
  </si>
  <si>
    <t>Critère Manuel trop grand</t>
  </si>
  <si>
    <r>
      <t>Escalier (montant ou descendant) à 3 niveaux dont le 2ème niveau est délimité par une limite 1 et une limite 2.
La limite 1 est incluse dans le 1er niveau (</t>
    </r>
    <r>
      <rPr>
        <b/>
        <u/>
        <sz val="11"/>
        <color theme="1"/>
        <rFont val="Calibri"/>
        <family val="2"/>
        <scheme val="minor"/>
      </rPr>
      <t>G</t>
    </r>
    <r>
      <rPr>
        <sz val="11"/>
        <color theme="1"/>
        <rFont val="Calibri"/>
        <family val="2"/>
        <scheme val="minor"/>
      </rPr>
      <t>auche).
La limite 2 est incluse dans le 2ème niveau (</t>
    </r>
    <r>
      <rPr>
        <b/>
        <u/>
        <sz val="11"/>
        <color theme="1"/>
        <rFont val="Calibri"/>
        <family val="2"/>
        <scheme val="minor"/>
      </rPr>
      <t>M</t>
    </r>
    <r>
      <rPr>
        <sz val="11"/>
        <color theme="1"/>
        <rFont val="Calibri"/>
        <family val="2"/>
        <scheme val="minor"/>
      </rPr>
      <t>ilieu).</t>
    </r>
  </si>
  <si>
    <t>Escalier (montant ou descendant) à 3 niveaux dont le 2ème niveau est délimité par une limite 1 et une limite 2.
La limite 1 est incluse dans le 2ème niveau (Milieu).
La limite 2 est incluse dans le 3ème niveau (Droite).</t>
  </si>
  <si>
    <t>Plan incliné (montant ou descendant) délimité par une limite 1 et une limite 2.
Les critères inférieurs à la limite 1 recoivent les points de cette la valeur 1.
Les critères supérieurs à la limite 2 recoivent les points de cette valeur 2.
Les critères compris entre les 2 limites recoivent les points pondérés selon une pente.</t>
  </si>
  <si>
    <t>Vous introduisez directement les points de ce critère</t>
  </si>
  <si>
    <t>Points si inférieur ou égal à la limite 1</t>
  </si>
  <si>
    <t>Points si strictement inférieur à la limite 1</t>
  </si>
  <si>
    <t>Points entre la valeur limite 1 (non comprise) et limite 2 (comprise)</t>
  </si>
  <si>
    <t>Points entre la valeur limite 1 (comprise) et limite 2 (non comprise)</t>
  </si>
  <si>
    <t>Points si strictement supérieur à la valeur limite 2</t>
  </si>
  <si>
    <t>Points si supérieur ou égal à la valeur limite 2</t>
  </si>
  <si>
    <t>Texte Pts Limite 1</t>
  </si>
  <si>
    <t>Texte Pts Limite 2</t>
  </si>
  <si>
    <t>Valeur de la limite 1 du critère</t>
  </si>
  <si>
    <t>Valeur de la limite 2 du critère</t>
  </si>
  <si>
    <t>Points si strictement inférieur à la valeur limite 1</t>
  </si>
  <si>
    <t>Points si inférieur à la valeur limite 1</t>
  </si>
  <si>
    <t>Valeur limite 1 du critère</t>
  </si>
  <si>
    <t>Valeur limite 2 du critère</t>
  </si>
  <si>
    <t>Points si supérieur à la valeur limite 2</t>
  </si>
  <si>
    <t>Pour des raisons techniques, la valeur limite 2 est fixée au SMR.</t>
  </si>
  <si>
    <t>Points si entre la valeur limite 1 (comprise) et limite 2 (non comprise)</t>
  </si>
  <si>
    <t>Points si entre la valeur limite 1 et limite 2</t>
  </si>
  <si>
    <t>01_Escalier_L1G_L2M</t>
  </si>
  <si>
    <t>02_Escalier_L1M_L2D</t>
  </si>
  <si>
    <t>03_PlanIncliné</t>
  </si>
  <si>
    <t>RC sans coefficient</t>
  </si>
  <si>
    <t>Score Max</t>
  </si>
  <si>
    <t>Version Alpha</t>
  </si>
  <si>
    <t>Communes participantes aux tests</t>
  </si>
  <si>
    <t>1.02.d</t>
  </si>
  <si>
    <t>Seconde version Bêta</t>
  </si>
  <si>
    <t>B. Critères d’attribution complémentaires</t>
  </si>
  <si>
    <t>Maximum de points pour ce critère</t>
  </si>
  <si>
    <t>Contenu du document</t>
  </si>
  <si>
    <t>-----</t>
  </si>
  <si>
    <t>Maximum attribuable des Points si Critère Manuel</t>
  </si>
  <si>
    <t>Unité à définir par vous-même
La valeur limite 1 doit être 
- soit un nombre positif
- soit "ValeurMinimale" pour prendre la plus petite valeur du critère (Par exemple l'âge du plus jeune)</t>
  </si>
  <si>
    <t>Unité à définir par vous-même
La valeur limite 2 doit être 
- soit un nombre positif
- soit "ValeurMaximale" pour prendre la plus grande valeur du critère (Par exemple l'âge du plus âgé)</t>
  </si>
  <si>
    <t>Ajout de 3 critères complémentaires n°7 à n°9</t>
  </si>
  <si>
    <t>7. Critère libre N°7</t>
  </si>
  <si>
    <t>8. Critère libre N°8</t>
  </si>
  <si>
    <t>9. Critère libre N°9</t>
  </si>
  <si>
    <t>Description du Critère N° 7 (A faire dans "Données Générales")</t>
  </si>
  <si>
    <t>Description du Critère N° 8 (A faire dans "Données Générales")</t>
  </si>
  <si>
    <t>Description du Critère N° 9 (A faire dans "Données Générales")</t>
  </si>
  <si>
    <t>Points critère 7</t>
  </si>
  <si>
    <t>Valeur utilisée pour Critère 7</t>
  </si>
  <si>
    <t>Points critère 8</t>
  </si>
  <si>
    <t>Valeur utilisée pour Critère 8</t>
  </si>
  <si>
    <t>Valeur utilisée pour Critère 9</t>
  </si>
  <si>
    <t>Points critère 9</t>
  </si>
  <si>
    <t>S° et N° parcelle(s)</t>
  </si>
  <si>
    <t>de la modification</t>
  </si>
  <si>
    <t>Commentaire</t>
  </si>
  <si>
    <t>Date</t>
  </si>
  <si>
    <t>diffusion</t>
  </si>
  <si>
    <t>Auteur de la</t>
  </si>
  <si>
    <t>modification</t>
  </si>
  <si>
    <t>2.02</t>
  </si>
  <si>
    <t>Site agriculture.wallonie.be</t>
  </si>
  <si>
    <t>Mise à jour de "Info"</t>
  </si>
  <si>
    <t>15 soumissionnaires</t>
  </si>
  <si>
    <t>Lieu-dit ou nom de la rue</t>
  </si>
  <si>
    <t>3.01</t>
  </si>
  <si>
    <t>3.02</t>
  </si>
  <si>
    <t>Publication</t>
  </si>
  <si>
    <r>
      <t xml:space="preserve">Ce formulaire constitue un support aux propriétaires publics dans le cadre des procédures de soumission visées à l'article 18 de l'ANCIEN CODE CIVIL. - LIVRE III - TITRE VIII - CHAPITRE II, Section 3 : Des règles particulières aux baux à ferme.
Il permet l'encodage et le calcul automatique des critères d'attribution prévus par l'Arrêté du Gouvernement wallon du 20 juin 2019 fixant les modalités de mise sous bail à ferme des biens ruraux appartenant à des propriétaires publics.
La possibilité d'ajout de critères d'attribution complémentaires a également été prévue avec un encodage soit manuel, soit via l'utilisation de formules prédéfinies (pour l'ajout de critères complémentaires, se référer au document word "tuto ajout de critères complémentaires").
</t>
    </r>
    <r>
      <rPr>
        <b/>
        <sz val="9"/>
        <rFont val="Calibri"/>
        <family val="2"/>
        <scheme val="minor"/>
      </rPr>
      <t>Ce document est composé de trois pages</t>
    </r>
    <r>
      <rPr>
        <sz val="9"/>
        <rFont val="Calibri"/>
        <family val="2"/>
        <scheme val="minor"/>
      </rPr>
      <t xml:space="preserve"> :
-   Une première page « info » sur laquelle vous vous trouvez ;
- Une deuxième page  « données générales » contenant les modalités de calcul des critères d’attribution. Elle est déjà préremplie. Dès lors, si vous n’utilisez que les critères d’attribution légaux, vous devez uniquement compléter les données sur les superficies minimales et maximales de rentabilité afférant à votre région en lignes 3 et 4 . Si par contre vous souhaitez ajouter des critères d’attribution complémentaires, vous devrez également compléter les lignes 88 et suivantes.
- Une troisième page « liste soumissionnaires valides » contenant les données relatives aux soumissionnaires, au lot à attribuer, la date limite de réception des soumissions ainsi que les résultats de la procédure. S’agissant de données propres à votre procédure, vous devrez encoder ici vous-même les données. Les résultats de la procédure s’afficheront alors automatiquement, ils sont calculés grâce aux critères fixés dans la deuxième page et aux données fixées dans la troisième.
Afin de vous aider lors du remplissage du formulaire, les cases « à compléter » ont été colorées en jaune, les cases « non-modifiables » en bleu ».
</t>
    </r>
    <r>
      <rPr>
        <b/>
        <sz val="9"/>
        <rFont val="Calibri"/>
        <family val="2"/>
        <scheme val="minor"/>
      </rPr>
      <t>Points d'attention</t>
    </r>
    <r>
      <rPr>
        <sz val="9"/>
        <rFont val="Calibri"/>
        <family val="2"/>
        <scheme val="minor"/>
      </rPr>
      <t xml:space="preserve">: 
</t>
    </r>
    <r>
      <rPr>
        <b/>
        <sz val="9"/>
        <rFont val="Calibri"/>
        <family val="2"/>
        <scheme val="minor"/>
      </rPr>
      <t>1.</t>
    </r>
    <r>
      <rPr>
        <sz val="9"/>
        <rFont val="Calibri"/>
        <family val="2"/>
        <scheme val="minor"/>
      </rPr>
      <t xml:space="preserve"> </t>
    </r>
    <r>
      <rPr>
        <b/>
        <sz val="9"/>
        <rFont val="Calibri"/>
        <family val="2"/>
        <scheme val="minor"/>
      </rPr>
      <t>Procédure à plusieurs lots</t>
    </r>
    <r>
      <rPr>
        <sz val="9"/>
        <rFont val="Calibri"/>
        <family val="2"/>
        <scheme val="minor"/>
      </rPr>
      <t xml:space="preserve">: Etant donné la protection de certaines zones du document, il n'est parfois pas possible de copier-coller des éléments (par exemple les données des soumissionnaires) dans un autre document excel. Ceci peut vous causer une perte de temps lorsque vous avez plusieurs lots à attribuer et donc plusieurs documents excel. Toutefois, il existe une solution simple et rapide : encodez une première fois toutes les données des soumissionnaires dans l’excel (il s’agira de votre document de base). Une fois cette opération faite, il vous suffira d’ « enregistrer sous » le document en autant d’exemplaires et donc sous autant de noms de lot dont vous avez besoin (ex : on « enregistre sous » et on intitule son document « lot 1 », puis on « enregistre sous » de nouveau et on intitule son document « lot 2), et ainsi de suite). A l’arrivée de cette opération, vous aurez donc autant de documents excel que vous avez de lots et ils seront déjà pré-encodés. Il vous suffira simplement alors de réaliser manuellement les modifications spécifiques à chaque lot.
</t>
    </r>
    <r>
      <rPr>
        <b/>
        <sz val="9"/>
        <rFont val="Calibri"/>
        <family val="2"/>
        <scheme val="minor"/>
      </rPr>
      <t>2. Critère de l'âge</t>
    </r>
    <r>
      <rPr>
        <sz val="9"/>
        <rFont val="Calibri"/>
        <family val="2"/>
        <scheme val="minor"/>
      </rPr>
      <t xml:space="preserve">: Lorsque la soumission émane d'une société simple (sans personnalité juridique), seul l'âge du plus jeune </t>
    </r>
    <r>
      <rPr>
        <u/>
        <sz val="9"/>
        <rFont val="Calibri"/>
        <family val="2"/>
        <scheme val="minor"/>
      </rPr>
      <t>membre</t>
    </r>
    <r>
      <rPr>
        <sz val="9"/>
        <rFont val="Calibri"/>
        <family val="2"/>
        <scheme val="minor"/>
      </rPr>
      <t xml:space="preserve"> de la société simple ne rencontrant pas un des critères d’exclusion est pris en compte (ex : membre A : 18 ans sans diplôme/expérience, membre B : 24 ans avec diplôme/expérience, l’âge de B est pris en compte et donc indiqué dans le tableau).
Lorsque la soumission émane d'une société, seul l'âge du plus jeune </t>
    </r>
    <r>
      <rPr>
        <u/>
        <sz val="9"/>
        <rFont val="Calibri"/>
        <family val="2"/>
        <scheme val="minor"/>
      </rPr>
      <t>administrateur</t>
    </r>
    <r>
      <rPr>
        <sz val="9"/>
        <rFont val="Calibri"/>
        <family val="2"/>
        <scheme val="minor"/>
      </rPr>
      <t xml:space="preserve"> ne rencontrant pas un desdits critères est pris en compte.</t>
    </r>
  </si>
  <si>
    <t>Compatibilité avec Excel 2013 + Correction Critère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</si>
</sst>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lt;100]\ 0&quot; ca&quot;;[&gt;=10000]0&quot; ha &quot;00&quot; a &quot;00&quot; ca&quot;;0&quot; a &quot;00&quot; ca&quot;"/>
    <numFmt numFmtId="165" formatCode="[&lt;100]\ 0&quot; Ca&quot;;[&gt;=10000]0&quot; Ha &quot;00&quot; a &quot;00&quot; Ca&quot;;0&quot; a &quot;00&quot; Ca&quot;"/>
    <numFmt numFmtId="166" formatCode="#\ ##0\ &quot;m&quot;"/>
    <numFmt numFmtId="167" formatCode="0.0"/>
    <numFmt numFmtId="168" formatCode="##0&quot; ans&quot;"/>
    <numFmt numFmtId="169" formatCode="#0&quot; Pts&quot;"/>
    <numFmt numFmtId="170" formatCode="0.0000"/>
    <numFmt numFmtId="171" formatCode="0.000%"/>
    <numFmt numFmtId="172" formatCode="[$-F800]dddd\,\ mmmm\ dd\,\ yyyy"/>
    <numFmt numFmtId="173" formatCode="d\/mm\/yyyy"/>
  </numFmts>
  <fonts count="27" x14ac:knownFonts="1">
    <font>
      <sz val="11"/>
      <color theme="1"/>
      <name val="Calibri"/>
      <family val="2"/>
      <scheme val="minor"/>
    </font>
    <font>
      <sz val="10"/>
      <color theme="1"/>
      <name val="Calibri"/>
      <family val="2"/>
      <scheme val="minor"/>
    </font>
    <font>
      <sz val="8"/>
      <name val="Calibri"/>
      <family val="2"/>
      <scheme val="minor"/>
    </font>
    <font>
      <sz val="11"/>
      <color theme="1"/>
      <name val="Calibri"/>
      <family val="2"/>
      <scheme val="minor"/>
    </font>
    <font>
      <sz val="9"/>
      <color indexed="81"/>
      <name val="Tahoma"/>
      <family val="2"/>
    </font>
    <font>
      <b/>
      <sz val="9"/>
      <color indexed="81"/>
      <name val="Tahoma"/>
      <family val="2"/>
    </font>
    <font>
      <sz val="8"/>
      <color rgb="FF000000"/>
      <name val="Segoe UI"/>
      <family val="2"/>
    </font>
    <font>
      <u/>
      <sz val="11"/>
      <color theme="10"/>
      <name val="Calibri"/>
      <family val="2"/>
      <scheme val="minor"/>
    </font>
    <font>
      <sz val="9"/>
      <name val="Calibri"/>
      <family val="2"/>
      <scheme val="minor"/>
    </font>
    <font>
      <b/>
      <sz val="9"/>
      <name val="Calibri"/>
      <family val="2"/>
      <scheme val="minor"/>
    </font>
    <font>
      <b/>
      <i/>
      <sz val="9"/>
      <name val="Calibri"/>
      <family val="2"/>
      <scheme val="minor"/>
    </font>
    <font>
      <sz val="11"/>
      <name val="Calibri"/>
      <family val="2"/>
      <scheme val="minor"/>
    </font>
    <font>
      <b/>
      <i/>
      <sz val="12"/>
      <color rgb="FF595959"/>
      <name val="Calibri"/>
      <family val="2"/>
      <scheme val="minor"/>
    </font>
    <font>
      <b/>
      <sz val="9"/>
      <color rgb="FF595959"/>
      <name val="Calibri"/>
      <family val="2"/>
      <scheme val="minor"/>
    </font>
    <font>
      <b/>
      <sz val="8"/>
      <color theme="1" tint="0.34998626667073579"/>
      <name val="Calibri"/>
      <family val="2"/>
      <scheme val="minor"/>
    </font>
    <font>
      <sz val="8"/>
      <color theme="1"/>
      <name val="Calibri"/>
      <family val="2"/>
      <scheme val="minor"/>
    </font>
    <font>
      <u/>
      <sz val="9"/>
      <color theme="10"/>
      <name val="Calibri"/>
      <family val="2"/>
      <scheme val="minor"/>
    </font>
    <font>
      <u/>
      <sz val="8"/>
      <color theme="10"/>
      <name val="Calibri"/>
      <family val="2"/>
      <scheme val="minor"/>
    </font>
    <font>
      <sz val="9"/>
      <color rgb="FF333333"/>
      <name val="Calibri"/>
      <family val="2"/>
      <scheme val="minor"/>
    </font>
    <font>
      <i/>
      <u/>
      <sz val="10"/>
      <color theme="1"/>
      <name val="Calibri"/>
      <family val="2"/>
      <scheme val="minor"/>
    </font>
    <font>
      <b/>
      <sz val="10"/>
      <color theme="1"/>
      <name val="Calibri"/>
      <family val="2"/>
      <scheme val="minor"/>
    </font>
    <font>
      <sz val="10"/>
      <color rgb="FFFF0000"/>
      <name val="Calibri"/>
      <family val="2"/>
      <scheme val="minor"/>
    </font>
    <font>
      <u/>
      <sz val="10"/>
      <color theme="1"/>
      <name val="Calibri"/>
      <family val="2"/>
      <scheme val="minor"/>
    </font>
    <font>
      <i/>
      <u/>
      <sz val="12"/>
      <color theme="1"/>
      <name val="Calibri"/>
      <family val="2"/>
      <scheme val="minor"/>
    </font>
    <font>
      <b/>
      <sz val="10"/>
      <color rgb="FFFF0000"/>
      <name val="Calibri"/>
      <family val="2"/>
      <scheme val="minor"/>
    </font>
    <font>
      <b/>
      <u/>
      <sz val="11"/>
      <color theme="1"/>
      <name val="Calibri"/>
      <family val="2"/>
      <scheme val="minor"/>
    </font>
    <font>
      <u/>
      <sz val="9"/>
      <name val="Calibri"/>
      <family val="2"/>
      <scheme val="minor"/>
    </font>
  </fonts>
  <fills count="17">
    <fill>
      <patternFill patternType="none"/>
    </fill>
    <fill>
      <patternFill patternType="gray125"/>
    </fill>
    <fill>
      <patternFill patternType="solid">
        <fgColor theme="9" tint="0.79998168889431442"/>
        <bgColor indexed="64"/>
      </patternFill>
    </fill>
    <fill>
      <patternFill patternType="solid">
        <fgColor rgb="FF0099FF"/>
        <bgColor indexed="64"/>
      </patternFill>
    </fill>
    <fill>
      <patternFill patternType="solid">
        <fgColor rgb="FF99CCFF"/>
        <bgColor indexed="64"/>
      </patternFill>
    </fill>
    <fill>
      <patternFill patternType="solid">
        <fgColor rgb="FFFFFFCC"/>
        <bgColor indexed="64"/>
      </patternFill>
    </fill>
    <fill>
      <patternFill patternType="solid">
        <fgColor rgb="FFCCECFF"/>
        <bgColor indexed="64"/>
      </patternFill>
    </fill>
    <fill>
      <patternFill patternType="solid">
        <fgColor rgb="FFDDDDDD"/>
        <bgColor indexed="64"/>
      </patternFill>
    </fill>
    <fill>
      <patternFill patternType="solid">
        <fgColor theme="9" tint="0.39997558519241921"/>
        <bgColor indexed="64"/>
      </patternFill>
    </fill>
    <fill>
      <patternFill patternType="lightUp"/>
    </fill>
    <fill>
      <patternFill patternType="solid">
        <fgColor theme="9" tint="0.59999389629810485"/>
        <bgColor indexed="64"/>
      </patternFill>
    </fill>
    <fill>
      <patternFill patternType="solid">
        <fgColor rgb="FFFFCCFF"/>
        <bgColor indexed="64"/>
      </patternFill>
    </fill>
    <fill>
      <patternFill patternType="solid">
        <fgColor rgb="FFFF9966"/>
        <bgColor indexed="64"/>
      </patternFill>
    </fill>
    <fill>
      <patternFill patternType="lightUp">
        <bgColor rgb="FFCCECFF"/>
      </patternFill>
    </fill>
    <fill>
      <patternFill patternType="solid">
        <fgColor rgb="FFCC99FF"/>
        <bgColor indexed="64"/>
      </patternFill>
    </fill>
    <fill>
      <patternFill patternType="darkTrellis"/>
    </fill>
    <fill>
      <patternFill patternType="solid">
        <fgColor rgb="FF66FF99"/>
        <bgColor indexed="64"/>
      </patternFill>
    </fill>
  </fills>
  <borders count="77">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style="thin">
        <color indexed="64"/>
      </right>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medium">
        <color auto="1"/>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3">
    <xf numFmtId="0" fontId="0" fillId="0" borderId="0"/>
    <xf numFmtId="9" fontId="3" fillId="0" borderId="0" applyFont="0" applyFill="0" applyBorder="0" applyAlignment="0" applyProtection="0"/>
    <xf numFmtId="0" fontId="7" fillId="0" borderId="0" applyNumberFormat="0" applyFill="0" applyBorder="0" applyAlignment="0" applyProtection="0"/>
  </cellStyleXfs>
  <cellXfs count="359">
    <xf numFmtId="0" fontId="0" fillId="0" borderId="0" xfId="0"/>
    <xf numFmtId="0" fontId="0" fillId="0" borderId="0" xfId="0" applyAlignment="1">
      <alignment vertical="top"/>
    </xf>
    <xf numFmtId="0" fontId="0" fillId="0" borderId="0" xfId="0" applyAlignment="1">
      <alignment vertical="top" wrapText="1"/>
    </xf>
    <xf numFmtId="0" fontId="1" fillId="0" borderId="10" xfId="0" applyFont="1" applyBorder="1" applyAlignment="1" applyProtection="1">
      <alignment horizontal="center" wrapText="1"/>
      <protection hidden="1"/>
    </xf>
    <xf numFmtId="0" fontId="1" fillId="0" borderId="11" xfId="0" applyFont="1" applyBorder="1" applyAlignment="1" applyProtection="1">
      <alignment horizontal="center" wrapText="1"/>
      <protection hidden="1"/>
    </xf>
    <xf numFmtId="0" fontId="1" fillId="0" borderId="12" xfId="0" applyFont="1" applyBorder="1" applyAlignment="1" applyProtection="1">
      <alignment horizontal="center" wrapText="1"/>
      <protection hidden="1"/>
    </xf>
    <xf numFmtId="0" fontId="1" fillId="0" borderId="0" xfId="0" applyFont="1" applyBorder="1" applyAlignment="1" applyProtection="1">
      <alignment horizontal="center" wrapText="1"/>
      <protection hidden="1"/>
    </xf>
    <xf numFmtId="0" fontId="1" fillId="3" borderId="0" xfId="0" applyFont="1" applyFill="1" applyAlignment="1">
      <alignment vertical="top"/>
    </xf>
    <xf numFmtId="0" fontId="1" fillId="3" borderId="0" xfId="0" applyFont="1" applyFill="1" applyAlignment="1">
      <alignment vertical="top" wrapText="1"/>
    </xf>
    <xf numFmtId="0" fontId="1" fillId="5" borderId="0" xfId="0" applyFont="1" applyFill="1" applyAlignment="1" applyProtection="1">
      <alignment vertical="top" wrapText="1"/>
    </xf>
    <xf numFmtId="0" fontId="1" fillId="0" borderId="0" xfId="0" applyFont="1" applyAlignment="1">
      <alignment vertical="top"/>
    </xf>
    <xf numFmtId="0" fontId="19" fillId="0" borderId="0" xfId="0" applyFont="1" applyFill="1" applyAlignment="1">
      <alignment vertical="top"/>
    </xf>
    <xf numFmtId="0" fontId="1" fillId="0" borderId="0" xfId="0" applyFont="1" applyAlignment="1">
      <alignment vertical="top" wrapText="1"/>
    </xf>
    <xf numFmtId="0" fontId="1" fillId="0" borderId="0" xfId="0" applyFont="1" applyFill="1" applyAlignment="1">
      <alignment vertical="top"/>
    </xf>
    <xf numFmtId="0" fontId="1" fillId="0" borderId="0" xfId="0" applyFont="1" applyFill="1" applyAlignment="1">
      <alignment vertical="top" wrapText="1"/>
    </xf>
    <xf numFmtId="0" fontId="1" fillId="4" borderId="0" xfId="0" applyFont="1" applyFill="1" applyAlignment="1">
      <alignment vertical="top" wrapText="1"/>
    </xf>
    <xf numFmtId="164" fontId="1" fillId="5" borderId="0" xfId="0" applyNumberFormat="1" applyFont="1" applyFill="1" applyAlignment="1" applyProtection="1">
      <alignment vertical="top"/>
      <protection locked="0"/>
    </xf>
    <xf numFmtId="0" fontId="21" fillId="7" borderId="0" xfId="0" applyFont="1" applyFill="1" applyAlignment="1" applyProtection="1">
      <alignment vertical="top" wrapText="1"/>
      <protection hidden="1"/>
    </xf>
    <xf numFmtId="0" fontId="1" fillId="6" borderId="0" xfId="0" applyNumberFormat="1" applyFont="1" applyFill="1" applyAlignment="1" applyProtection="1">
      <alignment vertical="top"/>
    </xf>
    <xf numFmtId="164" fontId="1" fillId="0" borderId="0" xfId="0" applyNumberFormat="1" applyFont="1" applyAlignment="1">
      <alignment vertical="top"/>
    </xf>
    <xf numFmtId="0" fontId="1" fillId="6" borderId="0" xfId="0" applyFont="1" applyFill="1" applyAlignment="1">
      <alignment horizontal="center" vertical="top"/>
    </xf>
    <xf numFmtId="169" fontId="1" fillId="7" borderId="0" xfId="0" applyNumberFormat="1" applyFont="1" applyFill="1" applyAlignment="1" applyProtection="1">
      <alignment horizontal="center" vertical="top"/>
      <protection hidden="1"/>
    </xf>
    <xf numFmtId="169" fontId="1" fillId="6" borderId="0" xfId="0" applyNumberFormat="1" applyFont="1" applyFill="1" applyAlignment="1">
      <alignment vertical="top"/>
    </xf>
    <xf numFmtId="168" fontId="1" fillId="6" borderId="0" xfId="0" applyNumberFormat="1" applyFont="1" applyFill="1" applyAlignment="1">
      <alignment vertical="top"/>
    </xf>
    <xf numFmtId="0" fontId="1" fillId="0" borderId="0" xfId="0" applyFont="1" applyFill="1" applyAlignment="1">
      <alignment horizontal="left" vertical="top"/>
    </xf>
    <xf numFmtId="164" fontId="1" fillId="6" borderId="0" xfId="0" applyNumberFormat="1" applyFont="1" applyFill="1" applyAlignment="1" applyProtection="1">
      <alignment vertical="top"/>
      <protection hidden="1"/>
    </xf>
    <xf numFmtId="0" fontId="1" fillId="0" borderId="0" xfId="0" applyFont="1" applyFill="1" applyAlignment="1">
      <alignment horizontal="center" vertical="top" wrapText="1"/>
    </xf>
    <xf numFmtId="0" fontId="1" fillId="0" borderId="0" xfId="0" applyFont="1" applyFill="1" applyAlignment="1">
      <alignment horizontal="center" vertical="top"/>
    </xf>
    <xf numFmtId="164" fontId="1" fillId="6" borderId="0" xfId="0" applyNumberFormat="1" applyFont="1" applyFill="1" applyAlignment="1">
      <alignment vertical="top"/>
    </xf>
    <xf numFmtId="0" fontId="1" fillId="0" borderId="0" xfId="0" applyFont="1" applyFill="1" applyAlignment="1">
      <alignment horizontal="left" vertical="top" wrapText="1"/>
    </xf>
    <xf numFmtId="0" fontId="1" fillId="5" borderId="0" xfId="0" applyFont="1" applyFill="1" applyAlignment="1" applyProtection="1">
      <alignment vertical="top" wrapText="1"/>
      <protection locked="0"/>
    </xf>
    <xf numFmtId="0" fontId="1" fillId="6" borderId="0" xfId="0" applyFont="1" applyFill="1" applyAlignment="1" applyProtection="1">
      <alignment vertical="top" wrapText="1"/>
      <protection hidden="1"/>
    </xf>
    <xf numFmtId="0" fontId="1" fillId="5" borderId="0" xfId="0" applyFont="1" applyFill="1" applyAlignment="1" applyProtection="1">
      <alignment horizontal="center" vertical="top"/>
      <protection locked="0"/>
    </xf>
    <xf numFmtId="169" fontId="1" fillId="0" borderId="0" xfId="0" applyNumberFormat="1" applyFont="1" applyAlignment="1">
      <alignment vertical="top" wrapText="1"/>
    </xf>
    <xf numFmtId="169" fontId="1" fillId="5" borderId="0" xfId="0" applyNumberFormat="1" applyFont="1" applyFill="1" applyAlignment="1" applyProtection="1">
      <alignment vertical="top"/>
      <protection locked="0"/>
    </xf>
    <xf numFmtId="0" fontId="1" fillId="5" borderId="0" xfId="0" applyNumberFormat="1" applyFont="1" applyFill="1" applyAlignment="1" applyProtection="1">
      <alignment vertical="top"/>
      <protection locked="0"/>
    </xf>
    <xf numFmtId="0" fontId="1" fillId="5" borderId="0" xfId="0" applyFont="1" applyFill="1" applyAlignment="1" applyProtection="1">
      <alignment vertical="top"/>
      <protection locked="0"/>
    </xf>
    <xf numFmtId="0" fontId="1" fillId="15" borderId="0" xfId="0" applyNumberFormat="1" applyFont="1" applyFill="1" applyAlignment="1">
      <alignment vertical="top"/>
    </xf>
    <xf numFmtId="0" fontId="1" fillId="15" borderId="0" xfId="0" applyNumberFormat="1" applyFont="1" applyFill="1" applyAlignment="1">
      <alignment vertical="top" wrapText="1"/>
    </xf>
    <xf numFmtId="0" fontId="23" fillId="0" borderId="0" xfId="0" applyFont="1" applyFill="1" applyAlignment="1" applyProtection="1">
      <alignment vertical="top"/>
      <protection hidden="1"/>
    </xf>
    <xf numFmtId="0" fontId="1" fillId="0" borderId="0" xfId="0" applyFont="1" applyProtection="1">
      <protection hidden="1"/>
    </xf>
    <xf numFmtId="0" fontId="1" fillId="0" borderId="0" xfId="0" applyNumberFormat="1" applyFont="1" applyProtection="1">
      <protection hidden="1"/>
    </xf>
    <xf numFmtId="0" fontId="1" fillId="0" borderId="0" xfId="0" applyFont="1" applyFill="1" applyProtection="1">
      <protection hidden="1"/>
    </xf>
    <xf numFmtId="2" fontId="1" fillId="0" borderId="0" xfId="0" applyNumberFormat="1" applyFont="1" applyProtection="1">
      <protection hidden="1"/>
    </xf>
    <xf numFmtId="2" fontId="20" fillId="0" borderId="0" xfId="0" applyNumberFormat="1" applyFont="1" applyProtection="1">
      <protection hidden="1"/>
    </xf>
    <xf numFmtId="0" fontId="20" fillId="0" borderId="0" xfId="0" applyFont="1" applyAlignment="1" applyProtection="1">
      <alignment horizontal="center" vertical="center"/>
      <protection hidden="1"/>
    </xf>
    <xf numFmtId="0" fontId="1" fillId="4" borderId="0" xfId="0" applyFont="1" applyFill="1" applyAlignment="1" applyProtection="1">
      <alignment vertical="top"/>
      <protection hidden="1"/>
    </xf>
    <xf numFmtId="0" fontId="1" fillId="5" borderId="0" xfId="0" applyNumberFormat="1" applyFont="1" applyFill="1" applyBorder="1" applyAlignment="1" applyProtection="1">
      <protection locked="0"/>
    </xf>
    <xf numFmtId="0" fontId="1" fillId="0" borderId="0" xfId="0" applyFont="1" applyBorder="1" applyAlignment="1" applyProtection="1">
      <alignment horizontal="center"/>
      <protection hidden="1"/>
    </xf>
    <xf numFmtId="0" fontId="1" fillId="0" borderId="0" xfId="0" applyFont="1" applyBorder="1" applyAlignment="1" applyProtection="1">
      <alignment horizontal="left"/>
      <protection hidden="1"/>
    </xf>
    <xf numFmtId="0" fontId="1" fillId="9" borderId="0" xfId="0" applyFont="1" applyFill="1" applyProtection="1">
      <protection hidden="1"/>
    </xf>
    <xf numFmtId="0" fontId="1" fillId="0" borderId="0" xfId="0" applyFont="1" applyBorder="1" applyAlignment="1" applyProtection="1">
      <alignment horizontal="right"/>
      <protection hidden="1"/>
    </xf>
    <xf numFmtId="4" fontId="1" fillId="0" borderId="0" xfId="0" applyNumberFormat="1" applyFont="1" applyBorder="1" applyAlignment="1" applyProtection="1">
      <alignment horizontal="right"/>
      <protection hidden="1"/>
    </xf>
    <xf numFmtId="0" fontId="1" fillId="3" borderId="0" xfId="0" applyFont="1" applyFill="1" applyAlignment="1" applyProtection="1">
      <alignment vertical="top"/>
      <protection hidden="1"/>
    </xf>
    <xf numFmtId="0" fontId="1" fillId="0" borderId="21" xfId="0" applyFont="1" applyBorder="1" applyAlignment="1" applyProtection="1">
      <alignment horizontal="center" wrapText="1"/>
      <protection hidden="1"/>
    </xf>
    <xf numFmtId="0" fontId="1" fillId="8" borderId="22" xfId="0" applyFont="1" applyFill="1" applyBorder="1" applyAlignment="1" applyProtection="1">
      <alignment horizontal="center" wrapText="1"/>
      <protection hidden="1"/>
    </xf>
    <xf numFmtId="0" fontId="1" fillId="0" borderId="26" xfId="0" applyFont="1" applyFill="1" applyBorder="1" applyAlignment="1" applyProtection="1">
      <alignment horizontal="center" vertical="top" wrapText="1"/>
      <protection hidden="1"/>
    </xf>
    <xf numFmtId="0" fontId="1" fillId="0" borderId="31" xfId="0" applyFont="1" applyBorder="1" applyAlignment="1" applyProtection="1">
      <alignment horizontal="center" wrapText="1"/>
      <protection hidden="1"/>
    </xf>
    <xf numFmtId="0" fontId="1" fillId="8" borderId="32" xfId="0" applyFont="1" applyFill="1" applyBorder="1" applyAlignment="1" applyProtection="1">
      <alignment horizontal="center" wrapText="1"/>
      <protection hidden="1"/>
    </xf>
    <xf numFmtId="0" fontId="1" fillId="0" borderId="32" xfId="0" applyFont="1" applyFill="1" applyBorder="1" applyAlignment="1" applyProtection="1">
      <alignment horizontal="center" vertical="top" wrapText="1"/>
      <protection hidden="1"/>
    </xf>
    <xf numFmtId="0" fontId="1" fillId="0" borderId="33" xfId="0" applyFont="1" applyFill="1" applyBorder="1" applyAlignment="1" applyProtection="1">
      <alignment horizontal="center" vertical="top" wrapText="1"/>
      <protection hidden="1"/>
    </xf>
    <xf numFmtId="0" fontId="1" fillId="9" borderId="54" xfId="0" applyFont="1" applyFill="1" applyBorder="1" applyProtection="1">
      <protection hidden="1"/>
    </xf>
    <xf numFmtId="0" fontId="1" fillId="9" borderId="0" xfId="0" applyFont="1" applyFill="1" applyBorder="1" applyProtection="1">
      <protection hidden="1"/>
    </xf>
    <xf numFmtId="0" fontId="1" fillId="6" borderId="21" xfId="0" applyFont="1" applyFill="1" applyBorder="1" applyAlignment="1" applyProtection="1">
      <alignment horizontal="left" vertical="top"/>
      <protection hidden="1"/>
    </xf>
    <xf numFmtId="0" fontId="1" fillId="9" borderId="22" xfId="0" applyFont="1" applyFill="1" applyBorder="1" applyAlignment="1" applyProtection="1">
      <alignment horizontal="center" vertical="top"/>
      <protection hidden="1"/>
    </xf>
    <xf numFmtId="0" fontId="1" fillId="9" borderId="26" xfId="0" applyFont="1" applyFill="1" applyBorder="1" applyAlignment="1" applyProtection="1">
      <alignment horizontal="right" vertical="top"/>
      <protection hidden="1"/>
    </xf>
    <xf numFmtId="0" fontId="1" fillId="6" borderId="31" xfId="0" applyFont="1" applyFill="1" applyBorder="1" applyAlignment="1" applyProtection="1">
      <alignment horizontal="left" vertical="top"/>
      <protection hidden="1"/>
    </xf>
    <xf numFmtId="0" fontId="1" fillId="9" borderId="32" xfId="0" applyFont="1" applyFill="1" applyBorder="1" applyAlignment="1" applyProtection="1">
      <alignment horizontal="center" vertical="top"/>
      <protection hidden="1"/>
    </xf>
    <xf numFmtId="0" fontId="1" fillId="9" borderId="32" xfId="0" applyFont="1" applyFill="1" applyBorder="1" applyAlignment="1" applyProtection="1">
      <alignment horizontal="right" vertical="top"/>
      <protection hidden="1"/>
    </xf>
    <xf numFmtId="0" fontId="1" fillId="9" borderId="33" xfId="0" applyFont="1" applyFill="1" applyBorder="1" applyAlignment="1" applyProtection="1">
      <alignment horizontal="right" vertical="top"/>
      <protection hidden="1"/>
    </xf>
    <xf numFmtId="2" fontId="20" fillId="0" borderId="19" xfId="0" applyNumberFormat="1" applyFont="1" applyBorder="1" applyAlignment="1" applyProtection="1">
      <alignment horizontal="center"/>
      <protection hidden="1"/>
    </xf>
    <xf numFmtId="2" fontId="20" fillId="0" borderId="20" xfId="0" applyNumberFormat="1" applyFont="1" applyBorder="1" applyAlignment="1" applyProtection="1">
      <alignment horizontal="center"/>
      <protection hidden="1"/>
    </xf>
    <xf numFmtId="169" fontId="1" fillId="7" borderId="21" xfId="0" applyNumberFormat="1" applyFont="1" applyFill="1" applyBorder="1" applyAlignment="1" applyProtection="1">
      <alignment horizontal="center" vertical="top"/>
      <protection hidden="1"/>
    </xf>
    <xf numFmtId="169" fontId="1" fillId="9" borderId="22" xfId="0" applyNumberFormat="1" applyFont="1" applyFill="1" applyBorder="1" applyAlignment="1" applyProtection="1">
      <alignment horizontal="center" vertical="top"/>
      <protection hidden="1"/>
    </xf>
    <xf numFmtId="169" fontId="1" fillId="9" borderId="26" xfId="0" applyNumberFormat="1" applyFont="1" applyFill="1" applyBorder="1" applyAlignment="1" applyProtection="1">
      <alignment horizontal="center" vertical="top"/>
      <protection hidden="1"/>
    </xf>
    <xf numFmtId="169" fontId="1" fillId="7" borderId="31" xfId="0" applyNumberFormat="1" applyFont="1" applyFill="1" applyBorder="1" applyAlignment="1" applyProtection="1">
      <alignment horizontal="center" vertical="top"/>
      <protection hidden="1"/>
    </xf>
    <xf numFmtId="169" fontId="1" fillId="9" borderId="32" xfId="0" applyNumberFormat="1" applyFont="1" applyFill="1" applyBorder="1" applyAlignment="1" applyProtection="1">
      <alignment horizontal="center" vertical="top"/>
      <protection hidden="1"/>
    </xf>
    <xf numFmtId="169" fontId="1" fillId="9" borderId="33" xfId="0" applyNumberFormat="1" applyFont="1" applyFill="1" applyBorder="1" applyAlignment="1" applyProtection="1">
      <alignment horizontal="center" vertical="top"/>
      <protection hidden="1"/>
    </xf>
    <xf numFmtId="169" fontId="1" fillId="6" borderId="21" xfId="0" applyNumberFormat="1" applyFont="1" applyFill="1" applyBorder="1" applyAlignment="1" applyProtection="1">
      <alignment vertical="top"/>
      <protection hidden="1"/>
    </xf>
    <xf numFmtId="169" fontId="22" fillId="6" borderId="22" xfId="0" applyNumberFormat="1" applyFont="1" applyFill="1" applyBorder="1" applyAlignment="1" applyProtection="1">
      <alignment vertical="top"/>
      <protection hidden="1"/>
    </xf>
    <xf numFmtId="169" fontId="1" fillId="6" borderId="26" xfId="0" applyNumberFormat="1" applyFont="1" applyFill="1" applyBorder="1" applyAlignment="1" applyProtection="1">
      <alignment vertical="top"/>
      <protection hidden="1"/>
    </xf>
    <xf numFmtId="169" fontId="1" fillId="6" borderId="31" xfId="0" applyNumberFormat="1" applyFont="1" applyFill="1" applyBorder="1" applyAlignment="1" applyProtection="1">
      <alignment vertical="top"/>
      <protection hidden="1"/>
    </xf>
    <xf numFmtId="169" fontId="22" fillId="6" borderId="32" xfId="0" applyNumberFormat="1" applyFont="1" applyFill="1" applyBorder="1" applyAlignment="1" applyProtection="1">
      <alignment vertical="top"/>
      <protection hidden="1"/>
    </xf>
    <xf numFmtId="169" fontId="1" fillId="6" borderId="32" xfId="0" applyNumberFormat="1" applyFont="1" applyFill="1" applyBorder="1" applyAlignment="1" applyProtection="1">
      <alignment vertical="top"/>
      <protection hidden="1"/>
    </xf>
    <xf numFmtId="169" fontId="1" fillId="4" borderId="33" xfId="0" applyNumberFormat="1" applyFont="1" applyFill="1" applyBorder="1" applyAlignment="1" applyProtection="1">
      <alignment horizontal="center" vertical="top"/>
      <protection hidden="1"/>
    </xf>
    <xf numFmtId="2" fontId="20" fillId="0" borderId="19" xfId="0" applyNumberFormat="1" applyFont="1" applyFill="1" applyBorder="1" applyAlignment="1" applyProtection="1">
      <alignment horizontal="center"/>
      <protection hidden="1"/>
    </xf>
    <xf numFmtId="0" fontId="1" fillId="6" borderId="21" xfId="0" applyNumberFormat="1" applyFont="1" applyFill="1" applyBorder="1" applyAlignment="1" applyProtection="1">
      <alignment horizontal="center" vertical="top"/>
      <protection hidden="1"/>
    </xf>
    <xf numFmtId="0" fontId="1" fillId="13" borderId="22" xfId="0" quotePrefix="1" applyNumberFormat="1" applyFont="1" applyFill="1" applyBorder="1" applyAlignment="1" applyProtection="1">
      <alignment horizontal="left" vertical="top"/>
      <protection hidden="1"/>
    </xf>
    <xf numFmtId="0" fontId="1" fillId="6" borderId="26" xfId="0" applyNumberFormat="1" applyFont="1" applyFill="1" applyBorder="1" applyAlignment="1" applyProtection="1">
      <alignment horizontal="center" vertical="top"/>
      <protection hidden="1"/>
    </xf>
    <xf numFmtId="0" fontId="1" fillId="6" borderId="21" xfId="0" applyNumberFormat="1" applyFont="1" applyFill="1" applyBorder="1" applyAlignment="1" applyProtection="1">
      <alignment vertical="top"/>
      <protection hidden="1"/>
    </xf>
    <xf numFmtId="0" fontId="1" fillId="6" borderId="22" xfId="0" quotePrefix="1" applyNumberFormat="1" applyFont="1" applyFill="1" applyBorder="1" applyAlignment="1" applyProtection="1">
      <alignment horizontal="left" vertical="top"/>
      <protection hidden="1"/>
    </xf>
    <xf numFmtId="171" fontId="1" fillId="6" borderId="22" xfId="1" quotePrefix="1" applyNumberFormat="1" applyFont="1" applyFill="1" applyBorder="1" applyAlignment="1" applyProtection="1">
      <alignment horizontal="left" vertical="top"/>
      <protection hidden="1"/>
    </xf>
    <xf numFmtId="171" fontId="1" fillId="6" borderId="26" xfId="1" applyNumberFormat="1" applyFont="1" applyFill="1" applyBorder="1" applyAlignment="1" applyProtection="1">
      <alignment horizontal="center" vertical="top"/>
      <protection hidden="1"/>
    </xf>
    <xf numFmtId="0" fontId="1" fillId="6" borderId="31" xfId="0" applyNumberFormat="1" applyFont="1" applyFill="1" applyBorder="1" applyAlignment="1" applyProtection="1">
      <alignment vertical="top"/>
      <protection hidden="1"/>
    </xf>
    <xf numFmtId="0" fontId="1" fillId="6" borderId="32" xfId="0" quotePrefix="1" applyNumberFormat="1" applyFont="1" applyFill="1" applyBorder="1" applyAlignment="1" applyProtection="1">
      <alignment horizontal="left" vertical="top"/>
      <protection hidden="1"/>
    </xf>
    <xf numFmtId="0" fontId="1" fillId="6" borderId="32" xfId="0" quotePrefix="1" applyNumberFormat="1" applyFont="1" applyFill="1" applyBorder="1" applyAlignment="1" applyProtection="1">
      <alignment horizontal="center" vertical="top"/>
      <protection hidden="1"/>
    </xf>
    <xf numFmtId="0" fontId="1" fillId="6" borderId="32" xfId="1" applyNumberFormat="1" applyFont="1" applyFill="1" applyBorder="1" applyAlignment="1" applyProtection="1">
      <alignment horizontal="center" vertical="top"/>
      <protection hidden="1"/>
    </xf>
    <xf numFmtId="0" fontId="1" fillId="4" borderId="33" xfId="1" applyNumberFormat="1" applyFont="1" applyFill="1" applyBorder="1" applyAlignment="1" applyProtection="1">
      <alignment horizontal="center" vertical="top"/>
      <protection hidden="1"/>
    </xf>
    <xf numFmtId="169" fontId="1" fillId="9" borderId="22" xfId="0" applyNumberFormat="1" applyFont="1" applyFill="1" applyBorder="1" applyAlignment="1" applyProtection="1">
      <alignment vertical="top"/>
      <protection hidden="1"/>
    </xf>
    <xf numFmtId="169" fontId="1" fillId="9" borderId="26" xfId="0" applyNumberFormat="1" applyFont="1" applyFill="1" applyBorder="1" applyAlignment="1" applyProtection="1">
      <alignment vertical="top"/>
      <protection hidden="1"/>
    </xf>
    <xf numFmtId="169" fontId="1" fillId="9" borderId="32" xfId="0" applyNumberFormat="1" applyFont="1" applyFill="1" applyBorder="1" applyAlignment="1" applyProtection="1">
      <alignment vertical="top"/>
      <protection hidden="1"/>
    </xf>
    <xf numFmtId="169" fontId="1" fillId="9" borderId="33" xfId="0" applyNumberFormat="1" applyFont="1" applyFill="1" applyBorder="1" applyAlignment="1" applyProtection="1">
      <alignment vertical="top"/>
      <protection hidden="1"/>
    </xf>
    <xf numFmtId="0" fontId="1" fillId="0" borderId="21" xfId="0" applyFont="1" applyBorder="1" applyAlignment="1" applyProtection="1">
      <alignment horizontal="center" vertical="center" wrapText="1"/>
      <protection hidden="1"/>
    </xf>
    <xf numFmtId="0" fontId="1" fillId="10" borderId="22" xfId="0" applyFont="1" applyFill="1" applyBorder="1" applyAlignment="1" applyProtection="1">
      <alignment horizontal="center" vertical="center" wrapText="1"/>
      <protection hidden="1"/>
    </xf>
    <xf numFmtId="0" fontId="1" fillId="0" borderId="31" xfId="0" applyFont="1" applyBorder="1" applyAlignment="1" applyProtection="1">
      <alignment horizontal="center" vertical="center" wrapText="1"/>
      <protection hidden="1"/>
    </xf>
    <xf numFmtId="0" fontId="1" fillId="10" borderId="32" xfId="0" applyFont="1" applyFill="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1" fillId="6" borderId="56" xfId="0" applyFont="1" applyFill="1" applyBorder="1" applyAlignment="1" applyProtection="1">
      <alignment vertical="top"/>
      <protection hidden="1"/>
    </xf>
    <xf numFmtId="10" fontId="1" fillId="0" borderId="17" xfId="0" applyNumberFormat="1" applyFont="1" applyFill="1" applyBorder="1" applyAlignment="1" applyProtection="1">
      <alignment vertical="top"/>
      <protection hidden="1"/>
    </xf>
    <xf numFmtId="0" fontId="1" fillId="6" borderId="21" xfId="0" applyFont="1" applyFill="1" applyBorder="1" applyAlignment="1" applyProtection="1">
      <alignment vertical="top"/>
      <protection hidden="1"/>
    </xf>
    <xf numFmtId="0" fontId="1" fillId="2" borderId="22" xfId="0" applyFont="1" applyFill="1" applyBorder="1" applyAlignment="1" applyProtection="1">
      <alignment vertical="top"/>
      <protection hidden="1"/>
    </xf>
    <xf numFmtId="0" fontId="1" fillId="11" borderId="26" xfId="0" applyFont="1" applyFill="1" applyBorder="1" applyAlignment="1" applyProtection="1">
      <alignment vertical="top"/>
      <protection hidden="1"/>
    </xf>
    <xf numFmtId="164" fontId="1" fillId="2" borderId="22" xfId="0" applyNumberFormat="1" applyFont="1" applyFill="1" applyBorder="1" applyAlignment="1" applyProtection="1">
      <alignment vertical="top"/>
      <protection hidden="1"/>
    </xf>
    <xf numFmtId="170" fontId="1" fillId="12" borderId="26" xfId="0" quotePrefix="1" applyNumberFormat="1" applyFont="1" applyFill="1" applyBorder="1" applyAlignment="1" applyProtection="1">
      <alignment vertical="top" wrapText="1"/>
      <protection hidden="1"/>
    </xf>
    <xf numFmtId="166" fontId="1" fillId="2" borderId="22" xfId="0" applyNumberFormat="1" applyFont="1" applyFill="1" applyBorder="1" applyAlignment="1" applyProtection="1">
      <alignment vertical="top"/>
      <protection hidden="1"/>
    </xf>
    <xf numFmtId="171" fontId="1" fillId="2" borderId="22" xfId="1" applyNumberFormat="1" applyFont="1" applyFill="1" applyBorder="1" applyAlignment="1" applyProtection="1">
      <alignment vertical="top"/>
      <protection hidden="1"/>
    </xf>
    <xf numFmtId="0" fontId="1" fillId="6" borderId="31" xfId="0" applyFont="1" applyFill="1" applyBorder="1" applyAlignment="1" applyProtection="1">
      <alignment vertical="top" wrapText="1"/>
      <protection hidden="1"/>
    </xf>
    <xf numFmtId="0" fontId="1" fillId="2" borderId="32" xfId="1" applyNumberFormat="1" applyFont="1" applyFill="1" applyBorder="1" applyAlignment="1" applyProtection="1">
      <alignment vertical="top"/>
      <protection hidden="1"/>
    </xf>
    <xf numFmtId="0" fontId="1" fillId="14" borderId="32" xfId="1" applyNumberFormat="1" applyFont="1" applyFill="1" applyBorder="1" applyAlignment="1" applyProtection="1">
      <alignment vertical="top"/>
      <protection hidden="1"/>
    </xf>
    <xf numFmtId="0" fontId="1" fillId="11" borderId="32" xfId="0" applyFont="1" applyFill="1" applyBorder="1" applyAlignment="1" applyProtection="1">
      <alignment vertical="top"/>
      <protection hidden="1"/>
    </xf>
    <xf numFmtId="170" fontId="1" fillId="12" borderId="32" xfId="0" quotePrefix="1" applyNumberFormat="1" applyFont="1" applyFill="1" applyBorder="1" applyAlignment="1" applyProtection="1">
      <alignment vertical="top" wrapText="1"/>
      <protection hidden="1"/>
    </xf>
    <xf numFmtId="170" fontId="1" fillId="16" borderId="33" xfId="0" quotePrefix="1" applyNumberFormat="1" applyFont="1" applyFill="1" applyBorder="1" applyAlignment="1" applyProtection="1">
      <alignment vertical="top" wrapText="1"/>
      <protection hidden="1"/>
    </xf>
    <xf numFmtId="0" fontId="20" fillId="0" borderId="9" xfId="0" applyFont="1" applyBorder="1" applyAlignment="1" applyProtection="1">
      <alignment horizontal="center" vertical="top"/>
      <protection hidden="1"/>
    </xf>
    <xf numFmtId="0" fontId="1" fillId="0" borderId="0" xfId="0" applyFont="1" applyAlignment="1" applyProtection="1">
      <alignment vertical="top"/>
      <protection hidden="1"/>
    </xf>
    <xf numFmtId="10" fontId="1" fillId="0" borderId="18" xfId="0" applyNumberFormat="1" applyFont="1" applyFill="1" applyBorder="1" applyAlignment="1" applyProtection="1">
      <alignment vertical="top"/>
      <protection hidden="1"/>
    </xf>
    <xf numFmtId="0" fontId="20" fillId="0" borderId="4" xfId="0" applyFont="1" applyBorder="1" applyAlignment="1" applyProtection="1">
      <alignment horizontal="center" vertical="top"/>
      <protection hidden="1"/>
    </xf>
    <xf numFmtId="10" fontId="1" fillId="0" borderId="30" xfId="0" applyNumberFormat="1" applyFont="1" applyFill="1" applyBorder="1" applyAlignment="1" applyProtection="1">
      <alignment vertical="top"/>
      <protection hidden="1"/>
    </xf>
    <xf numFmtId="0" fontId="1" fillId="6" borderId="59" xfId="0" applyFont="1" applyFill="1" applyBorder="1" applyAlignment="1" applyProtection="1">
      <alignment vertical="top"/>
      <protection hidden="1"/>
    </xf>
    <xf numFmtId="0" fontId="1" fillId="6" borderId="27" xfId="0" applyFont="1" applyFill="1" applyBorder="1" applyAlignment="1" applyProtection="1">
      <alignment vertical="top"/>
      <protection hidden="1"/>
    </xf>
    <xf numFmtId="0" fontId="1" fillId="2" borderId="28" xfId="0" applyFont="1" applyFill="1" applyBorder="1" applyAlignment="1" applyProtection="1">
      <alignment vertical="top"/>
      <protection hidden="1"/>
    </xf>
    <xf numFmtId="0" fontId="1" fillId="11" borderId="29" xfId="0" applyFont="1" applyFill="1" applyBorder="1" applyAlignment="1" applyProtection="1">
      <alignment vertical="top"/>
      <protection hidden="1"/>
    </xf>
    <xf numFmtId="164" fontId="1" fillId="2" borderId="28" xfId="0" applyNumberFormat="1" applyFont="1" applyFill="1" applyBorder="1" applyAlignment="1" applyProtection="1">
      <alignment vertical="top"/>
      <protection hidden="1"/>
    </xf>
    <xf numFmtId="170" fontId="1" fillId="12" borderId="29" xfId="0" quotePrefix="1" applyNumberFormat="1" applyFont="1" applyFill="1" applyBorder="1" applyAlignment="1" applyProtection="1">
      <alignment vertical="top" wrapText="1"/>
      <protection hidden="1"/>
    </xf>
    <xf numFmtId="166" fontId="1" fillId="2" borderId="28" xfId="0" applyNumberFormat="1" applyFont="1" applyFill="1" applyBorder="1" applyAlignment="1" applyProtection="1">
      <alignment vertical="top"/>
      <protection hidden="1"/>
    </xf>
    <xf numFmtId="171" fontId="1" fillId="2" borderId="28" xfId="1" applyNumberFormat="1" applyFont="1" applyFill="1" applyBorder="1" applyAlignment="1" applyProtection="1">
      <alignment vertical="top"/>
      <protection hidden="1"/>
    </xf>
    <xf numFmtId="0" fontId="1" fillId="6" borderId="34" xfId="0" applyFont="1" applyFill="1" applyBorder="1" applyAlignment="1" applyProtection="1">
      <alignment vertical="top" wrapText="1"/>
      <protection hidden="1"/>
    </xf>
    <xf numFmtId="0" fontId="1" fillId="2" borderId="35" xfId="1" applyNumberFormat="1" applyFont="1" applyFill="1" applyBorder="1" applyAlignment="1" applyProtection="1">
      <alignment vertical="top"/>
      <protection hidden="1"/>
    </xf>
    <xf numFmtId="0" fontId="1" fillId="14" borderId="35" xfId="1" applyNumberFormat="1" applyFont="1" applyFill="1" applyBorder="1" applyAlignment="1" applyProtection="1">
      <alignment vertical="top"/>
      <protection hidden="1"/>
    </xf>
    <xf numFmtId="0" fontId="1" fillId="11" borderId="35" xfId="0" applyFont="1" applyFill="1" applyBorder="1" applyAlignment="1" applyProtection="1">
      <alignment vertical="top"/>
      <protection hidden="1"/>
    </xf>
    <xf numFmtId="170" fontId="1" fillId="12" borderId="35" xfId="0" quotePrefix="1" applyNumberFormat="1" applyFont="1" applyFill="1" applyBorder="1" applyAlignment="1" applyProtection="1">
      <alignment vertical="top" wrapText="1"/>
      <protection hidden="1"/>
    </xf>
    <xf numFmtId="170" fontId="1" fillId="16" borderId="36" xfId="0" quotePrefix="1" applyNumberFormat="1" applyFont="1" applyFill="1" applyBorder="1" applyAlignment="1" applyProtection="1">
      <alignment vertical="top" wrapText="1"/>
      <protection hidden="1"/>
    </xf>
    <xf numFmtId="0" fontId="20" fillId="0" borderId="6" xfId="0" applyFont="1" applyBorder="1" applyAlignment="1" applyProtection="1">
      <alignment horizontal="center" vertical="top"/>
      <protection hidden="1"/>
    </xf>
    <xf numFmtId="166" fontId="1" fillId="0" borderId="13" xfId="0" applyNumberFormat="1" applyFont="1" applyFill="1" applyBorder="1" applyProtection="1">
      <protection hidden="1"/>
    </xf>
    <xf numFmtId="0" fontId="1" fillId="0" borderId="15" xfId="0" applyFont="1" applyBorder="1" applyProtection="1">
      <protection hidden="1"/>
    </xf>
    <xf numFmtId="10" fontId="1" fillId="0" borderId="0" xfId="0" applyNumberFormat="1" applyFont="1" applyFill="1" applyBorder="1" applyAlignment="1" applyProtection="1">
      <protection hidden="1"/>
    </xf>
    <xf numFmtId="2" fontId="1" fillId="0" borderId="37" xfId="0" applyNumberFormat="1" applyFont="1" applyBorder="1" applyProtection="1">
      <protection hidden="1"/>
    </xf>
    <xf numFmtId="0" fontId="1" fillId="10" borderId="15" xfId="0" applyFont="1" applyFill="1" applyBorder="1" applyProtection="1">
      <protection hidden="1"/>
    </xf>
    <xf numFmtId="2" fontId="1" fillId="0" borderId="15" xfId="0" applyNumberFormat="1" applyFont="1" applyBorder="1" applyProtection="1">
      <protection hidden="1"/>
    </xf>
    <xf numFmtId="171" fontId="1" fillId="10" borderId="15" xfId="1" applyNumberFormat="1" applyFont="1" applyFill="1" applyBorder="1" applyProtection="1">
      <protection hidden="1"/>
    </xf>
    <xf numFmtId="0" fontId="1" fillId="10" borderId="15" xfId="1" applyNumberFormat="1" applyFont="1" applyFill="1" applyBorder="1" applyProtection="1">
      <protection hidden="1"/>
    </xf>
    <xf numFmtId="2" fontId="1" fillId="0" borderId="38" xfId="0" applyNumberFormat="1" applyFont="1" applyBorder="1" applyProtection="1">
      <protection hidden="1"/>
    </xf>
    <xf numFmtId="2" fontId="1" fillId="0" borderId="14" xfId="0" applyNumberFormat="1" applyFont="1" applyBorder="1" applyProtection="1">
      <protection hidden="1"/>
    </xf>
    <xf numFmtId="0" fontId="1" fillId="0" borderId="16" xfId="0" applyFont="1" applyBorder="1" applyProtection="1">
      <protection hidden="1"/>
    </xf>
    <xf numFmtId="2" fontId="1" fillId="0" borderId="63" xfId="0" applyNumberFormat="1" applyFont="1" applyBorder="1" applyProtection="1">
      <protection hidden="1"/>
    </xf>
    <xf numFmtId="0" fontId="1" fillId="10" borderId="16" xfId="0" applyFont="1" applyFill="1" applyBorder="1" applyProtection="1">
      <protection hidden="1"/>
    </xf>
    <xf numFmtId="2" fontId="1" fillId="0" borderId="16" xfId="0" applyNumberFormat="1" applyFont="1" applyBorder="1" applyProtection="1">
      <protection hidden="1"/>
    </xf>
    <xf numFmtId="171" fontId="1" fillId="10" borderId="16" xfId="1" applyNumberFormat="1" applyFont="1" applyFill="1" applyBorder="1" applyProtection="1">
      <protection hidden="1"/>
    </xf>
    <xf numFmtId="0" fontId="1" fillId="10" borderId="16" xfId="1" applyNumberFormat="1" applyFont="1" applyFill="1" applyBorder="1" applyProtection="1">
      <protection hidden="1"/>
    </xf>
    <xf numFmtId="2" fontId="1" fillId="0" borderId="64" xfId="0" applyNumberFormat="1" applyFont="1" applyBorder="1" applyProtection="1">
      <protection hidden="1"/>
    </xf>
    <xf numFmtId="2" fontId="1" fillId="0" borderId="7" xfId="0" applyNumberFormat="1" applyFont="1" applyBorder="1" applyProtection="1">
      <protection hidden="1"/>
    </xf>
    <xf numFmtId="172" fontId="1" fillId="5" borderId="0" xfId="0" applyNumberFormat="1" applyFont="1" applyFill="1" applyBorder="1" applyAlignment="1" applyProtection="1">
      <alignment horizontal="center"/>
      <protection locked="0"/>
    </xf>
    <xf numFmtId="0" fontId="1" fillId="5" borderId="55" xfId="0" applyNumberFormat="1" applyFont="1" applyFill="1" applyBorder="1" applyAlignment="1" applyProtection="1">
      <alignment vertical="top"/>
      <protection locked="0"/>
    </xf>
    <xf numFmtId="173" fontId="1" fillId="5" borderId="55" xfId="0" applyNumberFormat="1" applyFont="1" applyFill="1" applyBorder="1" applyAlignment="1" applyProtection="1">
      <alignment vertical="top"/>
      <protection locked="0"/>
    </xf>
    <xf numFmtId="173" fontId="1" fillId="5" borderId="57" xfId="0" applyNumberFormat="1" applyFont="1" applyFill="1" applyBorder="1" applyAlignment="1" applyProtection="1">
      <alignment vertical="top"/>
      <protection locked="0"/>
    </xf>
    <xf numFmtId="0" fontId="1" fillId="0" borderId="60" xfId="0" applyFont="1" applyBorder="1" applyAlignment="1" applyProtection="1">
      <alignment vertical="center" wrapText="1"/>
      <protection hidden="1"/>
    </xf>
    <xf numFmtId="0" fontId="1" fillId="0" borderId="61" xfId="0" applyFont="1" applyBorder="1" applyAlignment="1" applyProtection="1">
      <alignment vertical="center" wrapText="1"/>
      <protection hidden="1"/>
    </xf>
    <xf numFmtId="0" fontId="1" fillId="0" borderId="62" xfId="0" applyFont="1" applyBorder="1" applyAlignment="1" applyProtection="1">
      <alignment horizontal="center" vertical="center" wrapText="1"/>
      <protection hidden="1"/>
    </xf>
    <xf numFmtId="0" fontId="1" fillId="0" borderId="17" xfId="0" applyFont="1" applyBorder="1" applyAlignment="1" applyProtection="1">
      <alignment vertical="center" wrapText="1"/>
      <protection hidden="1"/>
    </xf>
    <xf numFmtId="0" fontId="1" fillId="11" borderId="26" xfId="0" applyFont="1" applyFill="1" applyBorder="1" applyAlignment="1" applyProtection="1">
      <alignment horizontal="center" vertical="center"/>
      <protection hidden="1"/>
    </xf>
    <xf numFmtId="0" fontId="1" fillId="12" borderId="26" xfId="0" applyFont="1" applyFill="1" applyBorder="1" applyAlignment="1" applyProtection="1">
      <alignment horizontal="center" vertical="center"/>
      <protection hidden="1"/>
    </xf>
    <xf numFmtId="0" fontId="1" fillId="14" borderId="32" xfId="0" applyFont="1" applyFill="1" applyBorder="1" applyAlignment="1" applyProtection="1">
      <alignment horizontal="center" vertical="center"/>
      <protection hidden="1"/>
    </xf>
    <xf numFmtId="0" fontId="1" fillId="11" borderId="32" xfId="0" applyFont="1" applyFill="1" applyBorder="1" applyAlignment="1" applyProtection="1">
      <alignment horizontal="center" vertical="center"/>
      <protection hidden="1"/>
    </xf>
    <xf numFmtId="0" fontId="1" fillId="12" borderId="32" xfId="0" applyFont="1" applyFill="1" applyBorder="1" applyAlignment="1" applyProtection="1">
      <alignment horizontal="center" vertical="center"/>
      <protection hidden="1"/>
    </xf>
    <xf numFmtId="0" fontId="1" fillId="16" borderId="33" xfId="0" applyFont="1" applyFill="1" applyBorder="1" applyAlignment="1" applyProtection="1">
      <alignment horizontal="center" vertical="center"/>
      <protection hidden="1"/>
    </xf>
    <xf numFmtId="0" fontId="1" fillId="0" borderId="0" xfId="0" applyFont="1" applyAlignment="1" applyProtection="1">
      <alignment vertical="center" wrapText="1"/>
      <protection hidden="1"/>
    </xf>
    <xf numFmtId="0" fontId="1" fillId="9" borderId="65" xfId="0" applyFont="1" applyFill="1" applyBorder="1" applyProtection="1">
      <protection hidden="1"/>
    </xf>
    <xf numFmtId="0" fontId="1" fillId="9" borderId="13" xfId="0" applyFont="1" applyFill="1" applyBorder="1" applyProtection="1">
      <protection hidden="1"/>
    </xf>
    <xf numFmtId="0" fontId="1" fillId="5" borderId="66" xfId="0" applyNumberFormat="1" applyFont="1" applyFill="1" applyBorder="1" applyAlignment="1" applyProtection="1">
      <alignment vertical="top"/>
      <protection locked="0"/>
    </xf>
    <xf numFmtId="0" fontId="1" fillId="5" borderId="67" xfId="0" applyNumberFormat="1" applyFont="1" applyFill="1" applyBorder="1" applyAlignment="1" applyProtection="1">
      <alignment vertical="top"/>
      <protection locked="0"/>
    </xf>
    <xf numFmtId="0" fontId="1" fillId="9" borderId="20" xfId="0" applyFont="1" applyFill="1" applyBorder="1" applyProtection="1">
      <protection hidden="1"/>
    </xf>
    <xf numFmtId="0" fontId="1" fillId="0" borderId="55" xfId="0" applyFont="1" applyBorder="1" applyAlignment="1" applyProtection="1">
      <alignment horizontal="center" vertical="center" wrapText="1"/>
      <protection hidden="1"/>
    </xf>
    <xf numFmtId="0" fontId="1" fillId="5" borderId="68" xfId="0" applyNumberFormat="1" applyFont="1" applyFill="1" applyBorder="1" applyAlignment="1" applyProtection="1">
      <alignment vertical="top"/>
      <protection locked="0"/>
    </xf>
    <xf numFmtId="0" fontId="1" fillId="5" borderId="69" xfId="0" applyNumberFormat="1" applyFont="1" applyFill="1" applyBorder="1" applyAlignment="1" applyProtection="1">
      <alignment vertical="top"/>
      <protection locked="0"/>
    </xf>
    <xf numFmtId="0" fontId="21" fillId="0" borderId="0" xfId="0" applyFont="1" applyFill="1" applyAlignment="1">
      <alignment vertical="top" wrapText="1"/>
    </xf>
    <xf numFmtId="165" fontId="1" fillId="5" borderId="0" xfId="0" applyNumberFormat="1" applyFont="1" applyFill="1" applyBorder="1" applyAlignment="1" applyProtection="1">
      <protection locked="0"/>
    </xf>
    <xf numFmtId="3" fontId="1" fillId="5" borderId="0" xfId="0" applyNumberFormat="1" applyFont="1" applyFill="1" applyBorder="1" applyAlignment="1" applyProtection="1">
      <protection locked="0"/>
    </xf>
    <xf numFmtId="167" fontId="20" fillId="6" borderId="8" xfId="0" applyNumberFormat="1" applyFont="1" applyFill="1" applyBorder="1" applyProtection="1">
      <protection hidden="1"/>
    </xf>
    <xf numFmtId="167" fontId="20" fillId="0" borderId="8" xfId="0" applyNumberFormat="1" applyFont="1" applyBorder="1" applyAlignment="1" applyProtection="1">
      <alignment vertical="top"/>
      <protection hidden="1"/>
    </xf>
    <xf numFmtId="167" fontId="20" fillId="0" borderId="5" xfId="0" applyNumberFormat="1" applyFont="1" applyBorder="1" applyAlignment="1" applyProtection="1">
      <alignment vertical="top"/>
      <protection hidden="1"/>
    </xf>
    <xf numFmtId="2" fontId="20" fillId="0" borderId="3" xfId="0" applyNumberFormat="1" applyFont="1" applyFill="1" applyBorder="1" applyAlignment="1" applyProtection="1">
      <alignment horizontal="center" vertical="center" wrapText="1"/>
      <protection hidden="1"/>
    </xf>
    <xf numFmtId="0" fontId="1" fillId="10" borderId="37" xfId="1" applyNumberFormat="1" applyFont="1" applyFill="1" applyBorder="1" applyProtection="1">
      <protection hidden="1"/>
    </xf>
    <xf numFmtId="0" fontId="1" fillId="0" borderId="38" xfId="0" applyFont="1" applyBorder="1" applyProtection="1">
      <protection hidden="1"/>
    </xf>
    <xf numFmtId="0" fontId="1" fillId="10" borderId="63" xfId="1" applyNumberFormat="1" applyFont="1" applyFill="1" applyBorder="1" applyProtection="1">
      <protection hidden="1"/>
    </xf>
    <xf numFmtId="0" fontId="1" fillId="0" borderId="64" xfId="0" applyFont="1" applyBorder="1" applyProtection="1">
      <protection hidden="1"/>
    </xf>
    <xf numFmtId="0" fontId="1" fillId="0" borderId="55" xfId="0" applyFont="1" applyBorder="1" applyAlignment="1" applyProtection="1">
      <alignment horizontal="center" wrapText="1"/>
      <protection hidden="1"/>
    </xf>
    <xf numFmtId="0" fontId="1" fillId="8" borderId="66" xfId="0" applyFont="1" applyFill="1" applyBorder="1" applyAlignment="1" applyProtection="1">
      <alignment horizontal="center" wrapText="1"/>
      <protection hidden="1"/>
    </xf>
    <xf numFmtId="0" fontId="1" fillId="0" borderId="66" xfId="0" applyFont="1" applyFill="1" applyBorder="1" applyAlignment="1" applyProtection="1">
      <alignment horizontal="center" vertical="top" wrapText="1"/>
      <protection hidden="1"/>
    </xf>
    <xf numFmtId="0" fontId="1" fillId="0" borderId="68" xfId="0" applyFont="1" applyFill="1" applyBorder="1" applyAlignment="1" applyProtection="1">
      <alignment horizontal="center" vertical="top" wrapText="1"/>
      <protection hidden="1"/>
    </xf>
    <xf numFmtId="0" fontId="1" fillId="6" borderId="55" xfId="0" applyFont="1" applyFill="1" applyBorder="1" applyAlignment="1" applyProtection="1">
      <alignment horizontal="left" vertical="top"/>
      <protection hidden="1"/>
    </xf>
    <xf numFmtId="0" fontId="1" fillId="9" borderId="66" xfId="0" applyFont="1" applyFill="1" applyBorder="1" applyAlignment="1" applyProtection="1">
      <alignment horizontal="center" vertical="top"/>
      <protection hidden="1"/>
    </xf>
    <xf numFmtId="0" fontId="1" fillId="9" borderId="66" xfId="0" applyFont="1" applyFill="1" applyBorder="1" applyAlignment="1" applyProtection="1">
      <alignment horizontal="right" vertical="top"/>
      <protection hidden="1"/>
    </xf>
    <xf numFmtId="0" fontId="1" fillId="9" borderId="68" xfId="0" applyFont="1" applyFill="1" applyBorder="1" applyAlignment="1" applyProtection="1">
      <alignment horizontal="right" vertical="top"/>
      <protection hidden="1"/>
    </xf>
    <xf numFmtId="169" fontId="1" fillId="7" borderId="55" xfId="0" applyNumberFormat="1" applyFont="1" applyFill="1" applyBorder="1" applyAlignment="1" applyProtection="1">
      <alignment horizontal="center" vertical="top"/>
      <protection hidden="1"/>
    </xf>
    <xf numFmtId="169" fontId="1" fillId="9" borderId="66" xfId="0" applyNumberFormat="1" applyFont="1" applyFill="1" applyBorder="1" applyAlignment="1" applyProtection="1">
      <alignment horizontal="center" vertical="top"/>
      <protection hidden="1"/>
    </xf>
    <xf numFmtId="169" fontId="1" fillId="9" borderId="68" xfId="0" applyNumberFormat="1" applyFont="1" applyFill="1" applyBorder="1" applyAlignment="1" applyProtection="1">
      <alignment horizontal="center" vertical="top"/>
      <protection hidden="1"/>
    </xf>
    <xf numFmtId="169" fontId="1" fillId="6" borderId="55" xfId="0" applyNumberFormat="1" applyFont="1" applyFill="1" applyBorder="1" applyAlignment="1" applyProtection="1">
      <alignment vertical="top"/>
      <protection hidden="1"/>
    </xf>
    <xf numFmtId="169" fontId="22" fillId="6" borderId="66" xfId="0" applyNumberFormat="1" applyFont="1" applyFill="1" applyBorder="1" applyAlignment="1" applyProtection="1">
      <alignment vertical="top"/>
      <protection hidden="1"/>
    </xf>
    <xf numFmtId="169" fontId="1" fillId="6" borderId="66" xfId="0" applyNumberFormat="1" applyFont="1" applyFill="1" applyBorder="1" applyAlignment="1" applyProtection="1">
      <alignment vertical="top"/>
      <protection hidden="1"/>
    </xf>
    <xf numFmtId="169" fontId="1" fillId="4" borderId="68" xfId="0" applyNumberFormat="1" applyFont="1" applyFill="1" applyBorder="1" applyAlignment="1" applyProtection="1">
      <alignment horizontal="center" vertical="top"/>
      <protection hidden="1"/>
    </xf>
    <xf numFmtId="0" fontId="1" fillId="6" borderId="55" xfId="0" applyNumberFormat="1" applyFont="1" applyFill="1" applyBorder="1" applyAlignment="1" applyProtection="1">
      <alignment vertical="top"/>
      <protection hidden="1"/>
    </xf>
    <xf numFmtId="0" fontId="1" fillId="6" borderId="66" xfId="0" quotePrefix="1" applyNumberFormat="1" applyFont="1" applyFill="1" applyBorder="1" applyAlignment="1" applyProtection="1">
      <alignment horizontal="left" vertical="top"/>
      <protection hidden="1"/>
    </xf>
    <xf numFmtId="0" fontId="1" fillId="6" borderId="66" xfId="0" quotePrefix="1" applyNumberFormat="1" applyFont="1" applyFill="1" applyBorder="1" applyAlignment="1" applyProtection="1">
      <alignment horizontal="center" vertical="top"/>
      <protection hidden="1"/>
    </xf>
    <xf numFmtId="0" fontId="1" fillId="6" borderId="66" xfId="1" applyNumberFormat="1" applyFont="1" applyFill="1" applyBorder="1" applyAlignment="1" applyProtection="1">
      <alignment horizontal="center" vertical="top"/>
      <protection hidden="1"/>
    </xf>
    <xf numFmtId="0" fontId="1" fillId="4" borderId="68" xfId="1" applyNumberFormat="1" applyFont="1" applyFill="1" applyBorder="1" applyAlignment="1" applyProtection="1">
      <alignment horizontal="center" vertical="top"/>
      <protection hidden="1"/>
    </xf>
    <xf numFmtId="169" fontId="1" fillId="9" borderId="66" xfId="0" applyNumberFormat="1" applyFont="1" applyFill="1" applyBorder="1" applyAlignment="1" applyProtection="1">
      <alignment vertical="top"/>
      <protection hidden="1"/>
    </xf>
    <xf numFmtId="169" fontId="1" fillId="9" borderId="68" xfId="0" applyNumberFormat="1" applyFont="1" applyFill="1" applyBorder="1" applyAlignment="1" applyProtection="1">
      <alignment vertical="top"/>
      <protection hidden="1"/>
    </xf>
    <xf numFmtId="0" fontId="1" fillId="10" borderId="66" xfId="0" applyFont="1" applyFill="1" applyBorder="1" applyAlignment="1" applyProtection="1">
      <alignment horizontal="center" vertical="center" wrapText="1"/>
      <protection hidden="1"/>
    </xf>
    <xf numFmtId="0" fontId="1" fillId="14" borderId="66" xfId="0" applyFont="1" applyFill="1" applyBorder="1" applyAlignment="1" applyProtection="1">
      <alignment horizontal="center" vertical="center"/>
      <protection hidden="1"/>
    </xf>
    <xf numFmtId="0" fontId="1" fillId="11" borderId="66" xfId="0" applyFont="1" applyFill="1" applyBorder="1" applyAlignment="1" applyProtection="1">
      <alignment horizontal="center" vertical="center"/>
      <protection hidden="1"/>
    </xf>
    <xf numFmtId="0" fontId="1" fillId="12" borderId="66" xfId="0" applyFont="1" applyFill="1" applyBorder="1" applyAlignment="1" applyProtection="1">
      <alignment horizontal="center" vertical="center"/>
      <protection hidden="1"/>
    </xf>
    <xf numFmtId="0" fontId="1" fillId="16" borderId="68" xfId="0" applyFont="1" applyFill="1" applyBorder="1" applyAlignment="1" applyProtection="1">
      <alignment horizontal="center" vertical="center"/>
      <protection hidden="1"/>
    </xf>
    <xf numFmtId="0" fontId="1" fillId="6" borderId="55" xfId="0" applyFont="1" applyFill="1" applyBorder="1" applyAlignment="1" applyProtection="1">
      <alignment vertical="top" wrapText="1"/>
      <protection hidden="1"/>
    </xf>
    <xf numFmtId="0" fontId="1" fillId="2" borderId="66" xfId="1" applyNumberFormat="1" applyFont="1" applyFill="1" applyBorder="1" applyAlignment="1" applyProtection="1">
      <alignment vertical="top"/>
      <protection hidden="1"/>
    </xf>
    <xf numFmtId="0" fontId="1" fillId="14" borderId="66" xfId="1" applyNumberFormat="1" applyFont="1" applyFill="1" applyBorder="1" applyAlignment="1" applyProtection="1">
      <alignment vertical="top"/>
      <protection hidden="1"/>
    </xf>
    <xf numFmtId="0" fontId="1" fillId="11" borderId="66" xfId="0" applyFont="1" applyFill="1" applyBorder="1" applyAlignment="1" applyProtection="1">
      <alignment vertical="top"/>
      <protection hidden="1"/>
    </xf>
    <xf numFmtId="170" fontId="1" fillId="12" borderId="66" xfId="0" quotePrefix="1" applyNumberFormat="1" applyFont="1" applyFill="1" applyBorder="1" applyAlignment="1" applyProtection="1">
      <alignment vertical="top" wrapText="1"/>
      <protection hidden="1"/>
    </xf>
    <xf numFmtId="170" fontId="1" fillId="16" borderId="68" xfId="0" quotePrefix="1" applyNumberFormat="1" applyFont="1" applyFill="1" applyBorder="1" applyAlignment="1" applyProtection="1">
      <alignment vertical="top" wrapText="1"/>
      <protection hidden="1"/>
    </xf>
    <xf numFmtId="0" fontId="1" fillId="6" borderId="57" xfId="0" applyFont="1" applyFill="1" applyBorder="1" applyAlignment="1" applyProtection="1">
      <alignment vertical="top" wrapText="1"/>
      <protection hidden="1"/>
    </xf>
    <xf numFmtId="0" fontId="1" fillId="2" borderId="67" xfId="1" applyNumberFormat="1" applyFont="1" applyFill="1" applyBorder="1" applyAlignment="1" applyProtection="1">
      <alignment vertical="top"/>
      <protection hidden="1"/>
    </xf>
    <xf numFmtId="0" fontId="1" fillId="14" borderId="67" xfId="1" applyNumberFormat="1" applyFont="1" applyFill="1" applyBorder="1" applyAlignment="1" applyProtection="1">
      <alignment vertical="top"/>
      <protection hidden="1"/>
    </xf>
    <xf numFmtId="0" fontId="1" fillId="11" borderId="67" xfId="0" applyFont="1" applyFill="1" applyBorder="1" applyAlignment="1" applyProtection="1">
      <alignment vertical="top"/>
      <protection hidden="1"/>
    </xf>
    <xf numFmtId="170" fontId="1" fillId="12" borderId="67" xfId="0" quotePrefix="1" applyNumberFormat="1" applyFont="1" applyFill="1" applyBorder="1" applyAlignment="1" applyProtection="1">
      <alignment vertical="top" wrapText="1"/>
      <protection hidden="1"/>
    </xf>
    <xf numFmtId="170" fontId="1" fillId="16" borderId="69" xfId="0" quotePrefix="1" applyNumberFormat="1" applyFont="1" applyFill="1" applyBorder="1" applyAlignment="1" applyProtection="1">
      <alignment vertical="top" wrapText="1"/>
      <protection hidden="1"/>
    </xf>
    <xf numFmtId="0" fontId="1" fillId="0" borderId="66" xfId="0" applyFont="1" applyBorder="1" applyAlignment="1" applyProtection="1">
      <alignment horizontal="center" vertical="center" wrapText="1"/>
      <protection hidden="1"/>
    </xf>
    <xf numFmtId="0" fontId="1" fillId="0" borderId="66" xfId="0" applyFont="1" applyFill="1" applyBorder="1" applyAlignment="1" applyProtection="1">
      <alignment horizontal="center" vertical="center" wrapText="1"/>
      <protection hidden="1"/>
    </xf>
    <xf numFmtId="0" fontId="1" fillId="0" borderId="68" xfId="0" applyFont="1" applyFill="1" applyBorder="1" applyAlignment="1" applyProtection="1">
      <alignment horizontal="center" vertical="center" wrapText="1"/>
      <protection hidden="1"/>
    </xf>
    <xf numFmtId="0" fontId="1" fillId="6" borderId="66" xfId="0" applyNumberFormat="1" applyFont="1" applyFill="1" applyBorder="1" applyAlignment="1" applyProtection="1">
      <alignment vertical="top"/>
      <protection hidden="1"/>
    </xf>
    <xf numFmtId="165" fontId="1" fillId="5" borderId="66" xfId="0" applyNumberFormat="1" applyFont="1" applyFill="1" applyBorder="1" applyAlignment="1" applyProtection="1">
      <alignment vertical="top"/>
      <protection locked="0"/>
    </xf>
    <xf numFmtId="166" fontId="1" fillId="5" borderId="66" xfId="0" applyNumberFormat="1" applyFont="1" applyFill="1" applyBorder="1" applyAlignment="1" applyProtection="1">
      <alignment vertical="top"/>
      <protection locked="0"/>
    </xf>
    <xf numFmtId="10" fontId="1" fillId="6" borderId="66" xfId="0" applyNumberFormat="1" applyFont="1" applyFill="1" applyBorder="1" applyAlignment="1" applyProtection="1">
      <alignment vertical="top"/>
      <protection hidden="1"/>
    </xf>
    <xf numFmtId="0" fontId="1" fillId="6" borderId="67" xfId="0" applyNumberFormat="1" applyFont="1" applyFill="1" applyBorder="1" applyAlignment="1" applyProtection="1">
      <alignment vertical="top"/>
      <protection hidden="1"/>
    </xf>
    <xf numFmtId="165" fontId="1" fillId="5" borderId="67" xfId="0" applyNumberFormat="1" applyFont="1" applyFill="1" applyBorder="1" applyAlignment="1" applyProtection="1">
      <alignment vertical="top"/>
      <protection locked="0"/>
    </xf>
    <xf numFmtId="166" fontId="1" fillId="5" borderId="67" xfId="0" applyNumberFormat="1" applyFont="1" applyFill="1" applyBorder="1" applyAlignment="1" applyProtection="1">
      <alignment vertical="top"/>
      <protection locked="0"/>
    </xf>
    <xf numFmtId="10" fontId="1" fillId="6" borderId="67" xfId="0" applyNumberFormat="1" applyFont="1" applyFill="1" applyBorder="1" applyAlignment="1" applyProtection="1">
      <alignment vertical="top"/>
      <protection hidden="1"/>
    </xf>
    <xf numFmtId="0" fontId="1" fillId="0" borderId="0" xfId="0" applyFont="1" applyBorder="1" applyAlignment="1" applyProtection="1">
      <alignment vertical="center" wrapText="1"/>
      <protection hidden="1"/>
    </xf>
    <xf numFmtId="10" fontId="1" fillId="0" borderId="0" xfId="0" applyNumberFormat="1" applyFont="1" applyFill="1" applyBorder="1" applyAlignment="1" applyProtection="1">
      <alignment vertical="top"/>
      <protection hidden="1"/>
    </xf>
    <xf numFmtId="0" fontId="1" fillId="0" borderId="0" xfId="0" applyFont="1" applyBorder="1" applyProtection="1">
      <protection hidden="1"/>
    </xf>
    <xf numFmtId="0" fontId="11" fillId="0" borderId="0" xfId="0" applyFont="1" applyAlignment="1" applyProtection="1">
      <alignment horizontal="left"/>
    </xf>
    <xf numFmtId="0" fontId="8" fillId="0" borderId="0" xfId="0" applyFont="1" applyAlignment="1" applyProtection="1">
      <alignment horizontal="left" wrapText="1" indent="1"/>
    </xf>
    <xf numFmtId="0" fontId="12" fillId="0" borderId="0" xfId="0" applyFont="1" applyAlignment="1" applyProtection="1">
      <alignment horizontal="left"/>
    </xf>
    <xf numFmtId="0" fontId="9" fillId="0" borderId="0" xfId="0" applyFont="1" applyAlignment="1" applyProtection="1">
      <alignment horizontal="left" wrapText="1"/>
    </xf>
    <xf numFmtId="0" fontId="9" fillId="0" borderId="0" xfId="0" applyFont="1" applyAlignment="1" applyProtection="1">
      <alignment horizontal="left"/>
    </xf>
    <xf numFmtId="0" fontId="8" fillId="0" borderId="0" xfId="0" applyFont="1" applyAlignment="1" applyProtection="1">
      <alignment horizontal="left"/>
    </xf>
    <xf numFmtId="0" fontId="10" fillId="0" borderId="0" xfId="0" applyFont="1" applyAlignment="1" applyProtection="1">
      <alignment horizontal="left" wrapText="1"/>
    </xf>
    <xf numFmtId="0" fontId="10" fillId="0" borderId="0" xfId="0" applyFont="1" applyAlignment="1" applyProtection="1">
      <alignment horizontal="left"/>
    </xf>
    <xf numFmtId="0" fontId="13" fillId="0" borderId="0" xfId="0" applyFont="1" applyFill="1" applyAlignment="1" applyProtection="1">
      <alignment horizontal="left"/>
    </xf>
    <xf numFmtId="0" fontId="8" fillId="0" borderId="0" xfId="0" applyFont="1" applyProtection="1"/>
    <xf numFmtId="0" fontId="8" fillId="0" borderId="0" xfId="0" applyFont="1" applyAlignment="1" applyProtection="1">
      <alignment wrapText="1"/>
    </xf>
    <xf numFmtId="0" fontId="16" fillId="0" borderId="0" xfId="2" applyFont="1" applyFill="1" applyBorder="1" applyAlignment="1" applyProtection="1"/>
    <xf numFmtId="0" fontId="18" fillId="0" borderId="0" xfId="0" applyFont="1" applyProtection="1"/>
    <xf numFmtId="0" fontId="8" fillId="0" borderId="0" xfId="0" applyFont="1" applyAlignment="1" applyProtection="1">
      <alignment horizontal="left" wrapText="1"/>
    </xf>
    <xf numFmtId="0" fontId="2" fillId="0" borderId="0" xfId="0" applyFont="1" applyAlignment="1" applyProtection="1">
      <alignment horizontal="left" vertical="center"/>
    </xf>
    <xf numFmtId="0" fontId="14" fillId="0" borderId="50" xfId="0" applyFont="1" applyBorder="1" applyProtection="1"/>
    <xf numFmtId="49" fontId="15" fillId="0" borderId="50" xfId="0" applyNumberFormat="1" applyFont="1" applyFill="1" applyBorder="1" applyAlignment="1" applyProtection="1">
      <alignment horizontal="left" vertical="center"/>
    </xf>
    <xf numFmtId="14" fontId="15" fillId="0" borderId="50" xfId="0" applyNumberFormat="1" applyFont="1" applyFill="1" applyBorder="1" applyAlignment="1" applyProtection="1">
      <alignment horizontal="left" vertical="center"/>
    </xf>
    <xf numFmtId="0" fontId="15" fillId="0" borderId="50" xfId="0" applyFont="1" applyFill="1" applyBorder="1" applyAlignment="1" applyProtection="1">
      <alignment horizontal="left" vertical="center"/>
    </xf>
    <xf numFmtId="14" fontId="15" fillId="0" borderId="50" xfId="0" applyNumberFormat="1" applyFont="1" applyBorder="1" applyAlignment="1" applyProtection="1">
      <alignment horizontal="left" vertical="center"/>
    </xf>
    <xf numFmtId="0" fontId="15" fillId="0" borderId="50" xfId="0" applyFont="1" applyBorder="1" applyProtection="1"/>
    <xf numFmtId="0" fontId="15" fillId="0" borderId="51" xfId="0" applyFont="1" applyFill="1" applyBorder="1" applyProtection="1"/>
    <xf numFmtId="0" fontId="15" fillId="0" borderId="52" xfId="0" applyFont="1" applyFill="1" applyBorder="1" applyProtection="1"/>
    <xf numFmtId="0" fontId="8" fillId="0" borderId="0" xfId="0" applyFont="1" applyFill="1" applyAlignment="1" applyProtection="1">
      <alignment horizontal="left" vertical="top" wrapText="1"/>
    </xf>
    <xf numFmtId="0" fontId="1" fillId="0" borderId="0" xfId="0" quotePrefix="1" applyFont="1" applyFill="1" applyAlignment="1">
      <alignment vertical="top" wrapText="1"/>
    </xf>
    <xf numFmtId="0" fontId="1" fillId="9" borderId="13" xfId="0" applyFont="1" applyFill="1" applyBorder="1" applyAlignment="1" applyProtection="1">
      <alignment horizontal="center"/>
      <protection hidden="1"/>
    </xf>
    <xf numFmtId="0" fontId="1" fillId="0" borderId="71" xfId="0" applyFont="1" applyBorder="1" applyAlignment="1" applyProtection="1">
      <alignment horizontal="right"/>
      <protection hidden="1"/>
    </xf>
    <xf numFmtId="173" fontId="1" fillId="0" borderId="72" xfId="0" applyNumberFormat="1" applyFont="1" applyBorder="1" applyProtection="1">
      <protection hidden="1"/>
    </xf>
    <xf numFmtId="0" fontId="1" fillId="0" borderId="72" xfId="0" applyFont="1" applyBorder="1" applyProtection="1">
      <protection hidden="1"/>
    </xf>
    <xf numFmtId="165" fontId="1" fillId="0" borderId="72" xfId="0" applyNumberFormat="1" applyFont="1" applyBorder="1" applyProtection="1">
      <protection hidden="1"/>
    </xf>
    <xf numFmtId="166" fontId="1" fillId="0" borderId="72" xfId="0" applyNumberFormat="1" applyFont="1" applyFill="1" applyBorder="1" applyProtection="1">
      <protection hidden="1"/>
    </xf>
    <xf numFmtId="10" fontId="1" fillId="0" borderId="72" xfId="0" applyNumberFormat="1" applyFont="1" applyFill="1" applyBorder="1" applyAlignment="1" applyProtection="1">
      <protection hidden="1"/>
    </xf>
    <xf numFmtId="0" fontId="1" fillId="0" borderId="72" xfId="0" applyNumberFormat="1" applyFont="1" applyFill="1" applyBorder="1" applyAlignment="1" applyProtection="1">
      <protection hidden="1"/>
    </xf>
    <xf numFmtId="0" fontId="1" fillId="0" borderId="73" xfId="0" applyNumberFormat="1" applyFont="1" applyFill="1" applyBorder="1" applyAlignment="1" applyProtection="1">
      <protection hidden="1"/>
    </xf>
    <xf numFmtId="0" fontId="1" fillId="0" borderId="74" xfId="0" applyFont="1" applyBorder="1" applyAlignment="1" applyProtection="1">
      <alignment horizontal="right"/>
      <protection hidden="1"/>
    </xf>
    <xf numFmtId="173" fontId="1" fillId="0" borderId="75" xfId="0" applyNumberFormat="1" applyFont="1" applyBorder="1" applyProtection="1">
      <protection hidden="1"/>
    </xf>
    <xf numFmtId="0" fontId="1" fillId="0" borderId="75" xfId="0" applyFont="1" applyBorder="1" applyProtection="1">
      <protection hidden="1"/>
    </xf>
    <xf numFmtId="165" fontId="1" fillId="0" borderId="75" xfId="0" applyNumberFormat="1" applyFont="1" applyBorder="1" applyProtection="1">
      <protection hidden="1"/>
    </xf>
    <xf numFmtId="166" fontId="1" fillId="0" borderId="75" xfId="0" applyNumberFormat="1" applyFont="1" applyFill="1" applyBorder="1" applyProtection="1">
      <protection hidden="1"/>
    </xf>
    <xf numFmtId="10" fontId="1" fillId="0" borderId="75" xfId="0" applyNumberFormat="1" applyFont="1" applyFill="1" applyBorder="1" applyAlignment="1" applyProtection="1">
      <protection hidden="1"/>
    </xf>
    <xf numFmtId="0" fontId="1" fillId="0" borderId="75" xfId="0" applyNumberFormat="1" applyFont="1" applyFill="1" applyBorder="1" applyAlignment="1" applyProtection="1">
      <protection hidden="1"/>
    </xf>
    <xf numFmtId="0" fontId="1" fillId="0" borderId="76" xfId="0" applyNumberFormat="1" applyFont="1" applyFill="1" applyBorder="1" applyAlignment="1" applyProtection="1">
      <protection hidden="1"/>
    </xf>
    <xf numFmtId="49" fontId="15" fillId="0" borderId="52" xfId="0" applyNumberFormat="1" applyFont="1" applyBorder="1" applyAlignment="1" applyProtection="1">
      <alignment horizontal="left" vertical="center"/>
    </xf>
    <xf numFmtId="14" fontId="15" fillId="0" borderId="52" xfId="0" applyNumberFormat="1" applyFont="1" applyBorder="1" applyAlignment="1" applyProtection="1">
      <alignment horizontal="left" vertical="center"/>
    </xf>
    <xf numFmtId="0" fontId="15" fillId="0" borderId="51" xfId="0" applyFont="1" applyFill="1" applyBorder="1" applyAlignment="1" applyProtection="1">
      <alignment horizontal="left" vertical="center"/>
    </xf>
    <xf numFmtId="0" fontId="15" fillId="0" borderId="52" xfId="0" applyFont="1" applyBorder="1" applyAlignment="1" applyProtection="1">
      <alignment horizontal="left" vertical="center"/>
    </xf>
    <xf numFmtId="14" fontId="15" fillId="0" borderId="51" xfId="0" applyNumberFormat="1" applyFont="1" applyFill="1" applyBorder="1" applyAlignment="1" applyProtection="1">
      <alignment horizontal="left" vertical="center"/>
    </xf>
    <xf numFmtId="49" fontId="15" fillId="0" borderId="51" xfId="0" applyNumberFormat="1"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4" fillId="0" borderId="51" xfId="0" applyFont="1" applyBorder="1" applyProtection="1"/>
    <xf numFmtId="0" fontId="14" fillId="0" borderId="52" xfId="0" applyFont="1" applyBorder="1" applyProtection="1"/>
    <xf numFmtId="0" fontId="1" fillId="5" borderId="53" xfId="0" applyNumberFormat="1" applyFont="1" applyFill="1" applyBorder="1" applyAlignment="1" applyProtection="1">
      <alignment vertical="top" wrapText="1"/>
      <protection locked="0"/>
    </xf>
    <xf numFmtId="0" fontId="1" fillId="5" borderId="58" xfId="0" applyNumberFormat="1" applyFont="1" applyFill="1" applyBorder="1" applyAlignment="1" applyProtection="1">
      <alignment vertical="top" wrapText="1"/>
      <protection locked="0"/>
    </xf>
    <xf numFmtId="0" fontId="1" fillId="5" borderId="55" xfId="0" applyNumberFormat="1" applyFont="1" applyFill="1" applyBorder="1" applyAlignment="1" applyProtection="1">
      <alignment vertical="top" wrapText="1"/>
      <protection locked="0"/>
    </xf>
    <xf numFmtId="0" fontId="1" fillId="5" borderId="57" xfId="0" applyNumberFormat="1" applyFont="1" applyFill="1" applyBorder="1" applyAlignment="1" applyProtection="1">
      <alignment vertical="top" wrapText="1"/>
      <protection locked="0"/>
    </xf>
    <xf numFmtId="0" fontId="8" fillId="0" borderId="0" xfId="0" applyFont="1" applyFill="1" applyAlignment="1" applyProtection="1">
      <alignment horizontal="justify" vertical="top" wrapText="1"/>
    </xf>
    <xf numFmtId="0" fontId="15" fillId="0" borderId="50" xfId="0" applyFont="1" applyFill="1" applyBorder="1" applyAlignment="1" applyProtection="1">
      <alignment horizontal="left" vertical="top"/>
    </xf>
    <xf numFmtId="0" fontId="15" fillId="0" borderId="50" xfId="0" applyFont="1" applyBorder="1" applyAlignment="1" applyProtection="1">
      <alignment horizontal="left" vertical="top"/>
    </xf>
    <xf numFmtId="0" fontId="15" fillId="0" borderId="51" xfId="0" applyFont="1" applyFill="1" applyBorder="1" applyAlignment="1" applyProtection="1">
      <alignment horizontal="left" vertical="top"/>
    </xf>
    <xf numFmtId="0" fontId="15" fillId="0" borderId="52" xfId="0" applyFont="1" applyBorder="1" applyAlignment="1" applyProtection="1">
      <alignment horizontal="left" vertical="top"/>
    </xf>
    <xf numFmtId="172" fontId="15" fillId="0" borderId="39" xfId="0" applyNumberFormat="1" applyFont="1" applyFill="1" applyBorder="1" applyAlignment="1" applyProtection="1">
      <alignment horizontal="left"/>
    </xf>
    <xf numFmtId="0" fontId="15" fillId="0" borderId="39" xfId="0" applyFont="1" applyFill="1" applyBorder="1" applyAlignment="1" applyProtection="1">
      <alignment horizontal="left"/>
    </xf>
    <xf numFmtId="0" fontId="8" fillId="0" borderId="0" xfId="0" applyFont="1" applyFill="1" applyAlignment="1" applyProtection="1">
      <alignment horizontal="justify" vertical="top" wrapText="1"/>
    </xf>
    <xf numFmtId="0" fontId="15" fillId="0" borderId="51" xfId="0" applyFont="1" applyBorder="1" applyAlignment="1" applyProtection="1">
      <alignment horizontal="left" vertical="top" wrapText="1"/>
    </xf>
    <xf numFmtId="0" fontId="15" fillId="0" borderId="52" xfId="0" applyFont="1" applyBorder="1" applyAlignment="1" applyProtection="1">
      <alignment horizontal="left" vertical="top" wrapText="1"/>
    </xf>
    <xf numFmtId="0" fontId="14" fillId="0" borderId="39" xfId="0" applyFont="1" applyBorder="1" applyAlignment="1" applyProtection="1">
      <alignment horizontal="left" vertical="center"/>
    </xf>
    <xf numFmtId="0" fontId="14" fillId="0" borderId="40" xfId="0" applyFont="1" applyBorder="1" applyAlignment="1" applyProtection="1">
      <alignment horizontal="left" vertical="center"/>
    </xf>
    <xf numFmtId="172" fontId="15" fillId="0" borderId="39" xfId="0" applyNumberFormat="1" applyFont="1" applyFill="1" applyBorder="1" applyAlignment="1" applyProtection="1">
      <alignment horizontal="left"/>
    </xf>
    <xf numFmtId="172" fontId="15" fillId="0" borderId="40" xfId="0" applyNumberFormat="1" applyFont="1" applyFill="1" applyBorder="1" applyAlignment="1" applyProtection="1">
      <alignment horizontal="left"/>
    </xf>
    <xf numFmtId="172" fontId="15" fillId="0" borderId="41" xfId="0" applyNumberFormat="1" applyFont="1" applyFill="1" applyBorder="1" applyAlignment="1" applyProtection="1">
      <alignment horizontal="left"/>
    </xf>
    <xf numFmtId="0" fontId="15" fillId="0" borderId="39" xfId="0" applyFont="1" applyFill="1" applyBorder="1" applyAlignment="1" applyProtection="1">
      <alignment horizontal="left"/>
    </xf>
    <xf numFmtId="0" fontId="15" fillId="0" borderId="40" xfId="0" applyFont="1" applyFill="1" applyBorder="1" applyAlignment="1" applyProtection="1">
      <alignment horizontal="left"/>
    </xf>
    <xf numFmtId="0" fontId="15" fillId="0" borderId="41" xfId="0" applyFont="1" applyFill="1" applyBorder="1" applyAlignment="1" applyProtection="1">
      <alignment horizontal="left"/>
    </xf>
    <xf numFmtId="0" fontId="17" fillId="0" borderId="47" xfId="2" applyFont="1" applyFill="1" applyBorder="1" applyAlignment="1" applyProtection="1">
      <alignment horizontal="left"/>
    </xf>
    <xf numFmtId="0" fontId="15" fillId="0" borderId="49" xfId="0" applyFont="1" applyFill="1" applyBorder="1" applyAlignment="1" applyProtection="1">
      <alignment horizontal="left"/>
    </xf>
    <xf numFmtId="0" fontId="15" fillId="0" borderId="48" xfId="0" applyFont="1" applyFill="1" applyBorder="1" applyAlignment="1" applyProtection="1">
      <alignment horizontal="left"/>
    </xf>
    <xf numFmtId="0" fontId="14" fillId="0" borderId="39" xfId="0" applyFont="1" applyBorder="1" applyAlignment="1" applyProtection="1">
      <alignment horizontal="left"/>
    </xf>
    <xf numFmtId="0" fontId="14" fillId="0" borderId="40" xfId="0" applyFont="1" applyBorder="1" applyAlignment="1" applyProtection="1">
      <alignment horizontal="left"/>
    </xf>
    <xf numFmtId="0" fontId="14" fillId="0" borderId="41" xfId="0" applyFont="1" applyBorder="1" applyAlignment="1" applyProtection="1">
      <alignment horizontal="left"/>
    </xf>
    <xf numFmtId="0" fontId="15" fillId="0" borderId="42" xfId="0" applyFont="1" applyFill="1" applyBorder="1" applyAlignment="1" applyProtection="1">
      <alignment horizontal="left"/>
    </xf>
    <xf numFmtId="0" fontId="15" fillId="0" borderId="44" xfId="0" applyFont="1" applyFill="1" applyBorder="1" applyAlignment="1" applyProtection="1">
      <alignment horizontal="left"/>
    </xf>
    <xf numFmtId="0" fontId="15" fillId="0" borderId="43" xfId="0" applyFont="1" applyFill="1" applyBorder="1" applyAlignment="1" applyProtection="1">
      <alignment horizontal="left"/>
    </xf>
    <xf numFmtId="0" fontId="15" fillId="0" borderId="39" xfId="0" applyFont="1" applyBorder="1" applyAlignment="1" applyProtection="1">
      <alignment horizontal="left" vertical="center"/>
    </xf>
    <xf numFmtId="0" fontId="15" fillId="0" borderId="40" xfId="0" applyFont="1" applyBorder="1" applyAlignment="1" applyProtection="1">
      <alignment horizontal="left" vertical="center"/>
    </xf>
    <xf numFmtId="0" fontId="15" fillId="0" borderId="41" xfId="0" applyFont="1" applyBorder="1" applyAlignment="1" applyProtection="1">
      <alignment horizontal="left" vertical="center"/>
    </xf>
    <xf numFmtId="0" fontId="14" fillId="0" borderId="42" xfId="0" applyFont="1" applyFill="1" applyBorder="1" applyAlignment="1" applyProtection="1">
      <alignment horizontal="left" vertical="center"/>
    </xf>
    <xf numFmtId="0" fontId="14" fillId="0" borderId="43" xfId="0" applyFont="1" applyFill="1" applyBorder="1" applyAlignment="1" applyProtection="1">
      <alignment horizontal="left" vertical="center"/>
    </xf>
    <xf numFmtId="0" fontId="14" fillId="0" borderId="45" xfId="0" applyFont="1" applyFill="1" applyBorder="1" applyAlignment="1" applyProtection="1">
      <alignment horizontal="left" vertical="center"/>
    </xf>
    <xf numFmtId="0" fontId="14" fillId="0" borderId="46" xfId="0" applyFont="1" applyFill="1" applyBorder="1" applyAlignment="1" applyProtection="1">
      <alignment horizontal="left" vertical="center"/>
    </xf>
    <xf numFmtId="0" fontId="14" fillId="0" borderId="47" xfId="0" applyFont="1" applyFill="1" applyBorder="1" applyAlignment="1" applyProtection="1">
      <alignment horizontal="left" vertical="center"/>
    </xf>
    <xf numFmtId="0" fontId="14" fillId="0" borderId="48" xfId="0" applyFont="1" applyFill="1" applyBorder="1" applyAlignment="1" applyProtection="1">
      <alignment horizontal="left" vertical="center"/>
    </xf>
    <xf numFmtId="0" fontId="15" fillId="0" borderId="42" xfId="0" applyFont="1" applyFill="1" applyBorder="1" applyAlignment="1" applyProtection="1">
      <alignment horizontal="center" vertical="center"/>
    </xf>
    <xf numFmtId="0" fontId="15" fillId="0" borderId="44" xfId="0" applyFont="1" applyFill="1" applyBorder="1" applyAlignment="1" applyProtection="1">
      <alignment horizontal="center" vertical="center"/>
    </xf>
    <xf numFmtId="0" fontId="15" fillId="0" borderId="43" xfId="0" applyFont="1" applyFill="1" applyBorder="1" applyAlignment="1" applyProtection="1">
      <alignment horizontal="center" vertical="center"/>
    </xf>
    <xf numFmtId="0" fontId="15" fillId="0" borderId="45"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15" fillId="0" borderId="46" xfId="0" applyFont="1" applyFill="1" applyBorder="1" applyAlignment="1" applyProtection="1">
      <alignment horizontal="center" vertical="center"/>
    </xf>
    <xf numFmtId="0" fontId="15" fillId="0" borderId="47" xfId="0" applyFont="1" applyFill="1" applyBorder="1" applyAlignment="1" applyProtection="1">
      <alignment horizontal="center" vertical="center"/>
    </xf>
    <xf numFmtId="0" fontId="15" fillId="0" borderId="49" xfId="0" applyFont="1" applyFill="1" applyBorder="1" applyAlignment="1" applyProtection="1">
      <alignment horizontal="center" vertical="center"/>
    </xf>
    <xf numFmtId="0" fontId="15" fillId="0" borderId="48" xfId="0" applyFont="1" applyFill="1" applyBorder="1" applyAlignment="1" applyProtection="1">
      <alignment horizontal="center" vertical="center"/>
    </xf>
    <xf numFmtId="0" fontId="1" fillId="0" borderId="37" xfId="0" applyFont="1" applyBorder="1" applyAlignment="1" applyProtection="1">
      <alignment horizontal="center" wrapText="1"/>
      <protection hidden="1"/>
    </xf>
    <xf numFmtId="0" fontId="1" fillId="0" borderId="15" xfId="0" applyFont="1" applyBorder="1" applyAlignment="1" applyProtection="1">
      <alignment horizontal="center" wrapText="1"/>
      <protection hidden="1"/>
    </xf>
    <xf numFmtId="0" fontId="1" fillId="0" borderId="38" xfId="0" applyFont="1" applyBorder="1" applyAlignment="1" applyProtection="1">
      <alignment horizontal="center" wrapText="1"/>
      <protection hidden="1"/>
    </xf>
    <xf numFmtId="0" fontId="24" fillId="0" borderId="54" xfId="0" applyFont="1" applyBorder="1" applyAlignment="1" applyProtection="1">
      <alignment horizontal="center" vertical="center" textRotation="90"/>
      <protection hidden="1"/>
    </xf>
    <xf numFmtId="0" fontId="24" fillId="0" borderId="70" xfId="0" applyFont="1" applyBorder="1" applyAlignment="1" applyProtection="1">
      <alignment horizontal="center" vertical="center" textRotation="90"/>
      <protection hidden="1"/>
    </xf>
    <xf numFmtId="2" fontId="20" fillId="0" borderId="1" xfId="0" applyNumberFormat="1" applyFont="1" applyBorder="1" applyAlignment="1" applyProtection="1">
      <alignment horizontal="center"/>
      <protection hidden="1"/>
    </xf>
    <xf numFmtId="2" fontId="20" fillId="0" borderId="2" xfId="0" applyNumberFormat="1" applyFont="1" applyBorder="1" applyAlignment="1" applyProtection="1">
      <alignment horizontal="center"/>
      <protection hidden="1"/>
    </xf>
    <xf numFmtId="0" fontId="1" fillId="0" borderId="23"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0" fontId="24" fillId="0" borderId="0" xfId="0" applyFont="1" applyAlignment="1" applyProtection="1">
      <alignment horizontal="center"/>
      <protection hidden="1"/>
    </xf>
  </cellXfs>
  <cellStyles count="3">
    <cellStyle name="Lien hypertexte" xfId="2" builtinId="8"/>
    <cellStyle name="Normal" xfId="0" builtinId="0"/>
    <cellStyle name="Pourcentage" xfId="1" builtinId="5"/>
  </cellStyles>
  <dxfs count="37">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CCECFF"/>
      <color rgb="FFFFFF00"/>
      <color rgb="FFFFFFCC"/>
      <color rgb="FF66FF99"/>
      <color rgb="FF99CCFF"/>
      <color rgb="FFFF7C80"/>
      <color rgb="FFFF9966"/>
      <color rgb="FFCC99FF"/>
      <color rgb="FFFF66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1181100</xdr:colOff>
          <xdr:row>15</xdr:row>
          <xdr:rowOff>133350</xdr:rowOff>
        </xdr:from>
        <xdr:to>
          <xdr:col>5</xdr:col>
          <xdr:colOff>1019175</xdr:colOff>
          <xdr:row>17</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BE" sz="800" b="0" i="0" u="none" strike="noStrike" baseline="0">
                  <a:solidFill>
                    <a:srgbClr val="000000"/>
                  </a:solidFill>
                  <a:latin typeface="Segoe UI"/>
                  <a:cs typeface="Segoe UI"/>
                </a:rPr>
                <a:t>A valider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14</xdr:row>
          <xdr:rowOff>161925</xdr:rowOff>
        </xdr:from>
        <xdr:to>
          <xdr:col>5</xdr:col>
          <xdr:colOff>1095375</xdr:colOff>
          <xdr:row>16</xdr:row>
          <xdr:rowOff>57150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BE" sz="800" b="0" i="0" u="none" strike="noStrike" baseline="0">
                  <a:solidFill>
                    <a:srgbClr val="000000"/>
                  </a:solidFill>
                  <a:latin typeface="Segoe UI"/>
                  <a:cs typeface="Segoe UI"/>
                </a:rPr>
                <a:t>Brouillon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16</xdr:row>
          <xdr:rowOff>114300</xdr:rowOff>
        </xdr:from>
        <xdr:to>
          <xdr:col>5</xdr:col>
          <xdr:colOff>885825</xdr:colOff>
          <xdr:row>18</xdr:row>
          <xdr:rowOff>28575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solidFill>
              <a:srgbClr val="969696" mc:Ignorable="a14" a14:legacySpreadsheetColorIndex="55">
                <a:alpha val="39999"/>
              </a:srgbClr>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fr-BE" sz="800" b="0" i="0" u="none" strike="noStrike" baseline="0">
                  <a:solidFill>
                    <a:srgbClr val="000000"/>
                  </a:solidFill>
                  <a:latin typeface="Segoe UI"/>
                  <a:cs typeface="Segoe UI"/>
                </a:rPr>
                <a:t>D'application</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0B1E4C-F9CC-460C-AE9B-F30A9B09B764}" name="Tableau1" displayName="Tableau1" ref="A1:G7" totalsRowShown="0" headerRowDxfId="12" dataDxfId="11">
  <autoFilter ref="A1:G7" xr:uid="{3E41A9B5-1C9D-426C-88C7-8B6EA0418903}"/>
  <tableColumns count="7">
    <tableColumn id="4" xr3:uid="{638E2275-A0F6-409D-855D-5344890EE6E3}" name="Id Type de Critère" dataDxfId="10"/>
    <tableColumn id="1" xr3:uid="{D83FB9F4-9D26-44F9-AB07-540F0FEE8FC9}" name="Type de critères" dataDxfId="9"/>
    <tableColumn id="2" xr3:uid="{9032D5C1-370F-447C-AB29-66428EBC07A8}" name="Explication" dataDxfId="8"/>
    <tableColumn id="3" xr3:uid="{ECABA33A-1419-4AE9-872F-6632DDB14F26}" name="Exemple" dataDxfId="7"/>
    <tableColumn id="5" xr3:uid="{ACBC6E21-65BD-461A-8F1E-15F245015E39}" name="Texte Pts Limite 1" dataDxfId="6"/>
    <tableColumn id="7" xr3:uid="{93118520-A296-44A4-8AB3-56812701CA62}" name="Texte Pts Milieu" dataDxfId="5"/>
    <tableColumn id="6" xr3:uid="{BF4D8974-FE48-4892-8393-DDE2658C4584}" name="Texte Pts Limite 2"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DAE0BE-54A8-4F0E-9320-56D923D3EA3B}" name="Tableau2" displayName="Tableau2" ref="I1:J10" totalsRowShown="0" headerRowDxfId="3" dataDxfId="2">
  <autoFilter ref="I1:J10" xr:uid="{1435C303-76CF-4D66-AD9E-0F0A1AAB024C}"/>
  <tableColumns count="2">
    <tableColumn id="1" xr3:uid="{3301E38C-D0A5-4A6D-940E-4A20790AE4AF}" name="Mots clés" dataDxfId="1"/>
    <tableColumn id="2" xr3:uid="{D2BD13D2-DCE5-4A6C-9AFF-E48895CEBE17}" name="Explication"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agriculture.wallonie.be/bail-a-ferme" TargetMode="External"/><Relationship Id="rId1" Type="http://schemas.openxmlformats.org/officeDocument/2006/relationships/hyperlink" Target="mailto:bailaferme@spw.wallonie.be"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1840-6F29-4719-AB67-4155905D75DF}">
  <sheetPr codeName="Feuil10">
    <tabColor rgb="FF66FF99"/>
    <pageSetUpPr fitToPage="1"/>
  </sheetPr>
  <dimension ref="B1:I46"/>
  <sheetViews>
    <sheetView showGridLines="0" tabSelected="1" workbookViewId="0">
      <selection activeCell="B1" sqref="B1"/>
    </sheetView>
  </sheetViews>
  <sheetFormatPr baseColWidth="10" defaultColWidth="20.7109375" defaultRowHeight="12" x14ac:dyDescent="0.2"/>
  <cols>
    <col min="1" max="1" width="2.7109375" style="252" customWidth="1"/>
    <col min="2" max="2" width="108" style="252" customWidth="1"/>
    <col min="3" max="3" width="2.7109375" style="252" customWidth="1"/>
    <col min="4" max="4" width="9.42578125" style="252" customWidth="1"/>
    <col min="5" max="5" width="11.140625" style="252" customWidth="1"/>
    <col min="6" max="6" width="20.42578125" style="252" customWidth="1"/>
    <col min="7" max="7" width="9.85546875" style="252" customWidth="1"/>
    <col min="8" max="8" width="8.140625" style="252" customWidth="1"/>
    <col min="9" max="9" width="25.28515625" style="252" customWidth="1"/>
    <col min="10" max="16384" width="20.7109375" style="252"/>
  </cols>
  <sheetData>
    <row r="1" spans="2:9" s="247" customFormat="1" ht="15" x14ac:dyDescent="0.25">
      <c r="C1" s="248"/>
    </row>
    <row r="2" spans="2:9" ht="15.75" x14ac:dyDescent="0.25">
      <c r="B2" s="249" t="s">
        <v>196</v>
      </c>
      <c r="C2" s="250"/>
      <c r="D2" s="249" t="s">
        <v>128</v>
      </c>
      <c r="E2" s="251"/>
      <c r="F2" s="251"/>
      <c r="G2" s="251"/>
      <c r="H2" s="251"/>
      <c r="I2" s="250"/>
    </row>
    <row r="3" spans="2:9" ht="12" customHeight="1" x14ac:dyDescent="0.2">
      <c r="B3" s="270"/>
      <c r="C3" s="253"/>
      <c r="D3" s="253"/>
      <c r="E3" s="254"/>
      <c r="F3" s="254"/>
      <c r="G3" s="254"/>
      <c r="H3" s="254"/>
      <c r="I3" s="253"/>
    </row>
    <row r="4" spans="2:9" ht="12" customHeight="1" x14ac:dyDescent="0.2">
      <c r="B4" s="310" t="s">
        <v>229</v>
      </c>
      <c r="C4" s="253"/>
      <c r="D4" s="255" t="s">
        <v>146</v>
      </c>
      <c r="E4" s="256"/>
      <c r="F4" s="256"/>
      <c r="H4" s="257"/>
      <c r="I4" s="253"/>
    </row>
    <row r="5" spans="2:9" x14ac:dyDescent="0.2">
      <c r="B5" s="310"/>
      <c r="C5" s="253"/>
      <c r="D5" s="256"/>
      <c r="E5" s="256"/>
      <c r="F5" s="256"/>
      <c r="H5" s="257"/>
      <c r="I5" s="253"/>
    </row>
    <row r="6" spans="2:9" x14ac:dyDescent="0.2">
      <c r="B6" s="310"/>
      <c r="C6" s="253"/>
      <c r="D6" s="256" t="s">
        <v>129</v>
      </c>
      <c r="E6" s="258" t="s">
        <v>150</v>
      </c>
      <c r="F6" s="256"/>
      <c r="H6" s="257"/>
      <c r="I6" s="253"/>
    </row>
    <row r="7" spans="2:9" x14ac:dyDescent="0.2">
      <c r="B7" s="310"/>
      <c r="C7" s="253"/>
      <c r="H7" s="257"/>
      <c r="I7" s="253"/>
    </row>
    <row r="8" spans="2:9" x14ac:dyDescent="0.2">
      <c r="B8" s="310"/>
      <c r="C8" s="253"/>
      <c r="D8" s="252" t="s">
        <v>149</v>
      </c>
      <c r="E8" s="259" t="s">
        <v>147</v>
      </c>
      <c r="F8" s="257"/>
      <c r="G8" s="257"/>
    </row>
    <row r="9" spans="2:9" x14ac:dyDescent="0.2">
      <c r="B9" s="310"/>
      <c r="C9" s="253"/>
      <c r="E9" s="259" t="s">
        <v>148</v>
      </c>
      <c r="F9" s="257"/>
      <c r="G9" s="257"/>
    </row>
    <row r="10" spans="2:9" x14ac:dyDescent="0.2">
      <c r="B10" s="310"/>
      <c r="C10" s="250"/>
      <c r="D10" s="256"/>
      <c r="E10" s="256"/>
      <c r="F10" s="256"/>
      <c r="G10" s="256"/>
      <c r="H10" s="256"/>
    </row>
    <row r="11" spans="2:9" ht="15.75" x14ac:dyDescent="0.25">
      <c r="B11" s="310"/>
      <c r="C11" s="260"/>
      <c r="D11" s="249" t="s">
        <v>130</v>
      </c>
      <c r="E11" s="256"/>
      <c r="F11" s="256"/>
      <c r="G11" s="256"/>
      <c r="H11" s="256"/>
    </row>
    <row r="12" spans="2:9" x14ac:dyDescent="0.2">
      <c r="B12" s="310"/>
      <c r="C12" s="260"/>
    </row>
    <row r="13" spans="2:9" x14ac:dyDescent="0.2">
      <c r="B13" s="310"/>
      <c r="C13" s="260"/>
      <c r="D13" s="313" t="s">
        <v>131</v>
      </c>
      <c r="E13" s="314"/>
      <c r="F13" s="315">
        <v>44518</v>
      </c>
      <c r="G13" s="316"/>
      <c r="H13" s="316"/>
      <c r="I13" s="317"/>
    </row>
    <row r="14" spans="2:9" x14ac:dyDescent="0.2">
      <c r="B14" s="310"/>
      <c r="C14" s="260"/>
      <c r="D14" s="313" t="s">
        <v>132</v>
      </c>
      <c r="E14" s="314"/>
      <c r="F14" s="330" t="s">
        <v>142</v>
      </c>
      <c r="G14" s="331"/>
      <c r="H14" s="331"/>
      <c r="I14" s="332"/>
    </row>
    <row r="15" spans="2:9" x14ac:dyDescent="0.2">
      <c r="B15" s="310"/>
      <c r="C15" s="260"/>
      <c r="D15" s="313" t="s">
        <v>140</v>
      </c>
      <c r="E15" s="314"/>
      <c r="F15" s="330" t="s">
        <v>141</v>
      </c>
      <c r="G15" s="331"/>
      <c r="H15" s="331"/>
      <c r="I15" s="332"/>
    </row>
    <row r="16" spans="2:9" x14ac:dyDescent="0.2">
      <c r="B16" s="310"/>
      <c r="C16" s="260"/>
      <c r="D16" s="333" t="s">
        <v>133</v>
      </c>
      <c r="E16" s="334"/>
      <c r="F16" s="339"/>
      <c r="G16" s="340"/>
      <c r="H16" s="340"/>
      <c r="I16" s="341"/>
    </row>
    <row r="17" spans="2:9" x14ac:dyDescent="0.2">
      <c r="B17" s="310"/>
      <c r="C17" s="260"/>
      <c r="D17" s="335"/>
      <c r="E17" s="336"/>
      <c r="F17" s="342"/>
      <c r="G17" s="343"/>
      <c r="H17" s="343"/>
      <c r="I17" s="344"/>
    </row>
    <row r="18" spans="2:9" x14ac:dyDescent="0.2">
      <c r="B18" s="310"/>
      <c r="C18" s="260"/>
      <c r="D18" s="337"/>
      <c r="E18" s="338"/>
      <c r="F18" s="345"/>
      <c r="G18" s="346"/>
      <c r="H18" s="346"/>
      <c r="I18" s="347"/>
    </row>
    <row r="19" spans="2:9" x14ac:dyDescent="0.2">
      <c r="B19" s="310"/>
      <c r="C19" s="260"/>
      <c r="D19" s="295"/>
      <c r="E19" s="295"/>
      <c r="F19" s="296"/>
      <c r="G19" s="296"/>
      <c r="H19" s="296"/>
      <c r="I19" s="296"/>
    </row>
    <row r="20" spans="2:9" x14ac:dyDescent="0.2">
      <c r="B20" s="310"/>
      <c r="C20" s="260"/>
      <c r="D20" s="297"/>
      <c r="E20" s="297"/>
      <c r="F20" s="297" t="s">
        <v>216</v>
      </c>
      <c r="G20" s="297" t="s">
        <v>219</v>
      </c>
      <c r="H20" s="297" t="s">
        <v>217</v>
      </c>
      <c r="I20" s="297"/>
    </row>
    <row r="21" spans="2:9" x14ac:dyDescent="0.2">
      <c r="B21" s="310"/>
      <c r="C21" s="260"/>
      <c r="D21" s="298" t="s">
        <v>134</v>
      </c>
      <c r="E21" s="298" t="s">
        <v>135</v>
      </c>
      <c r="F21" s="298" t="s">
        <v>215</v>
      </c>
      <c r="G21" s="298" t="s">
        <v>220</v>
      </c>
      <c r="H21" s="298" t="s">
        <v>218</v>
      </c>
      <c r="I21" s="298" t="s">
        <v>136</v>
      </c>
    </row>
    <row r="22" spans="2:9" x14ac:dyDescent="0.2">
      <c r="B22" s="310"/>
      <c r="D22" s="263">
        <v>1.01</v>
      </c>
      <c r="E22" s="264">
        <v>44518</v>
      </c>
      <c r="F22" s="304" t="s">
        <v>190</v>
      </c>
      <c r="G22" s="265" t="s">
        <v>142</v>
      </c>
      <c r="H22" s="264">
        <v>44518</v>
      </c>
      <c r="I22" s="265" t="s">
        <v>142</v>
      </c>
    </row>
    <row r="23" spans="2:9" x14ac:dyDescent="0.2">
      <c r="B23" s="310"/>
      <c r="D23" s="263" t="s">
        <v>192</v>
      </c>
      <c r="E23" s="264">
        <v>44644</v>
      </c>
      <c r="F23" s="304" t="s">
        <v>151</v>
      </c>
      <c r="G23" s="265" t="s">
        <v>142</v>
      </c>
      <c r="H23" s="264">
        <v>44644</v>
      </c>
      <c r="I23" s="265" t="s">
        <v>142</v>
      </c>
    </row>
    <row r="24" spans="2:9" x14ac:dyDescent="0.2">
      <c r="B24" s="310"/>
      <c r="D24" s="263">
        <v>1.03</v>
      </c>
      <c r="E24" s="266">
        <v>44648</v>
      </c>
      <c r="F24" s="305" t="s">
        <v>193</v>
      </c>
      <c r="G24" s="265" t="s">
        <v>142</v>
      </c>
      <c r="H24" s="264">
        <v>44648</v>
      </c>
      <c r="I24" s="265" t="s">
        <v>191</v>
      </c>
    </row>
    <row r="25" spans="2:9" x14ac:dyDescent="0.2">
      <c r="B25" s="310"/>
      <c r="C25" s="250"/>
      <c r="D25" s="294">
        <v>2.0099999999999998</v>
      </c>
      <c r="E25" s="293">
        <v>44649</v>
      </c>
      <c r="F25" s="311" t="s">
        <v>201</v>
      </c>
      <c r="G25" s="291" t="s">
        <v>142</v>
      </c>
      <c r="H25" s="293">
        <v>44649</v>
      </c>
      <c r="I25" s="291" t="s">
        <v>191</v>
      </c>
    </row>
    <row r="26" spans="2:9" x14ac:dyDescent="0.2">
      <c r="B26" s="310"/>
      <c r="C26" s="260"/>
      <c r="D26" s="289"/>
      <c r="E26" s="290"/>
      <c r="F26" s="312"/>
      <c r="G26" s="292"/>
      <c r="H26" s="292"/>
      <c r="I26" s="292"/>
    </row>
    <row r="27" spans="2:9" x14ac:dyDescent="0.2">
      <c r="B27" s="310"/>
      <c r="D27" s="294" t="s">
        <v>221</v>
      </c>
      <c r="E27" s="293">
        <v>44657</v>
      </c>
      <c r="F27" s="306" t="s">
        <v>223</v>
      </c>
      <c r="G27" s="291" t="s">
        <v>142</v>
      </c>
      <c r="H27" s="293">
        <v>44663</v>
      </c>
      <c r="I27" s="291" t="s">
        <v>222</v>
      </c>
    </row>
    <row r="28" spans="2:9" x14ac:dyDescent="0.2">
      <c r="B28" s="310"/>
      <c r="D28" s="289"/>
      <c r="E28" s="290"/>
      <c r="F28" s="307" t="s">
        <v>224</v>
      </c>
      <c r="G28" s="292"/>
      <c r="H28" s="292"/>
      <c r="I28" s="292"/>
    </row>
    <row r="29" spans="2:9" x14ac:dyDescent="0.2">
      <c r="B29" s="310"/>
      <c r="D29" s="294" t="s">
        <v>226</v>
      </c>
      <c r="E29" s="293">
        <v>44670</v>
      </c>
      <c r="F29" s="311" t="s">
        <v>230</v>
      </c>
      <c r="G29" s="291" t="s">
        <v>142</v>
      </c>
      <c r="H29" s="293">
        <v>44670</v>
      </c>
      <c r="I29" s="291" t="s">
        <v>191</v>
      </c>
    </row>
    <row r="30" spans="2:9" x14ac:dyDescent="0.2">
      <c r="B30" s="310"/>
      <c r="D30" s="289"/>
      <c r="E30" s="290"/>
      <c r="F30" s="312"/>
      <c r="G30" s="292"/>
      <c r="H30" s="292"/>
      <c r="I30" s="292"/>
    </row>
    <row r="31" spans="2:9" x14ac:dyDescent="0.2">
      <c r="B31" s="310"/>
      <c r="D31" s="263" t="s">
        <v>227</v>
      </c>
      <c r="E31" s="266">
        <v>44672</v>
      </c>
      <c r="F31" s="305" t="s">
        <v>228</v>
      </c>
      <c r="G31" s="265" t="s">
        <v>142</v>
      </c>
      <c r="H31" s="264">
        <v>44672</v>
      </c>
      <c r="I31" s="292" t="s">
        <v>222</v>
      </c>
    </row>
    <row r="32" spans="2:9" x14ac:dyDescent="0.2">
      <c r="B32" s="310"/>
    </row>
    <row r="33" spans="2:9" x14ac:dyDescent="0.2">
      <c r="B33" s="310"/>
      <c r="D33" s="261"/>
      <c r="E33" s="261"/>
      <c r="F33" s="261"/>
      <c r="G33" s="261"/>
      <c r="H33" s="261"/>
      <c r="I33" s="261"/>
    </row>
    <row r="34" spans="2:9" x14ac:dyDescent="0.2">
      <c r="B34" s="310"/>
      <c r="D34" s="262" t="s">
        <v>137</v>
      </c>
      <c r="E34" s="267"/>
      <c r="F34" s="309"/>
      <c r="G34" s="318" t="s">
        <v>142</v>
      </c>
      <c r="H34" s="319"/>
      <c r="I34" s="320"/>
    </row>
    <row r="35" spans="2:9" x14ac:dyDescent="0.2">
      <c r="B35" s="310"/>
      <c r="D35" s="262" t="s">
        <v>138</v>
      </c>
      <c r="E35" s="267"/>
      <c r="F35" s="308"/>
      <c r="G35" s="315">
        <v>44670</v>
      </c>
      <c r="H35" s="316"/>
      <c r="I35" s="317"/>
    </row>
    <row r="36" spans="2:9" x14ac:dyDescent="0.2">
      <c r="B36" s="310"/>
    </row>
    <row r="37" spans="2:9" x14ac:dyDescent="0.2">
      <c r="B37" s="310"/>
      <c r="D37" s="324" t="s">
        <v>139</v>
      </c>
      <c r="E37" s="325"/>
      <c r="F37" s="325"/>
      <c r="G37" s="325"/>
      <c r="H37" s="325"/>
      <c r="I37" s="326"/>
    </row>
    <row r="38" spans="2:9" x14ac:dyDescent="0.2">
      <c r="B38" s="310"/>
      <c r="D38" s="268" t="s">
        <v>152</v>
      </c>
      <c r="E38" s="327" t="s">
        <v>154</v>
      </c>
      <c r="F38" s="328"/>
      <c r="G38" s="328"/>
      <c r="H38" s="328"/>
      <c r="I38" s="329"/>
    </row>
    <row r="39" spans="2:9" x14ac:dyDescent="0.2">
      <c r="B39" s="310"/>
      <c r="D39" s="269"/>
      <c r="E39" s="321" t="s">
        <v>153</v>
      </c>
      <c r="F39" s="322"/>
      <c r="G39" s="322"/>
      <c r="H39" s="322"/>
      <c r="I39" s="323"/>
    </row>
    <row r="40" spans="2:9" x14ac:dyDescent="0.2">
      <c r="B40" s="310"/>
    </row>
    <row r="41" spans="2:9" x14ac:dyDescent="0.2">
      <c r="B41" s="310"/>
    </row>
    <row r="42" spans="2:9" x14ac:dyDescent="0.2">
      <c r="B42" s="310"/>
    </row>
    <row r="43" spans="2:9" x14ac:dyDescent="0.2">
      <c r="B43" s="303"/>
    </row>
    <row r="44" spans="2:9" x14ac:dyDescent="0.2">
      <c r="B44" s="303"/>
    </row>
    <row r="45" spans="2:9" x14ac:dyDescent="0.2">
      <c r="B45" s="303"/>
    </row>
    <row r="46" spans="2:9" x14ac:dyDescent="0.2">
      <c r="B46" s="303"/>
    </row>
  </sheetData>
  <sheetProtection algorithmName="SHA-512" hashValue="0zEIbkWzSaSK/WYsCsh/hCX94D7yMuM1iQQy/dTUvT36iIFssLq/a5W+sCIDXsoyxJiKxLLeZDT1EwgpBTmEnw==" saltValue="508hA8K8jXX/l6UvwTTa4g==" spinCount="100000" sheet="1" objects="1" scenarios="1"/>
  <mergeCells count="16">
    <mergeCell ref="G34:I34"/>
    <mergeCell ref="G35:I35"/>
    <mergeCell ref="B4:B42"/>
    <mergeCell ref="F29:F30"/>
    <mergeCell ref="F25:F26"/>
    <mergeCell ref="D13:E13"/>
    <mergeCell ref="F13:I13"/>
    <mergeCell ref="E39:I39"/>
    <mergeCell ref="D37:I37"/>
    <mergeCell ref="E38:I38"/>
    <mergeCell ref="D14:E14"/>
    <mergeCell ref="F14:I14"/>
    <mergeCell ref="D15:E15"/>
    <mergeCell ref="F15:I15"/>
    <mergeCell ref="D16:E18"/>
    <mergeCell ref="F16:I18"/>
  </mergeCells>
  <hyperlinks>
    <hyperlink ref="E6" r:id="rId1" xr:uid="{C0D05755-8E3A-4A6F-9236-191C1B223D0A}"/>
    <hyperlink ref="E39" r:id="rId2" xr:uid="{C7D97594-0877-469C-9C43-C4D230E116BB}"/>
  </hyperlinks>
  <pageMargins left="0.31496062992125984" right="0.31496062992125984" top="0.74803149606299213" bottom="0.74803149606299213" header="0.31496062992125984" footer="0.31496062992125984"/>
  <pageSetup paperSize="9" scale="71" orientation="landscape" r:id="rId3"/>
  <headerFooter>
    <oddFooter>&amp;LFichier: &amp;F - Feuille: &amp;A&amp;CImprimé le &amp;D&amp;RPage &amp;P de &amp;N</oddFooter>
  </headerFooter>
  <ignoredErrors>
    <ignoredError sqref="D27 D29 D31"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6146" r:id="rId6" name="Check Box 2">
              <controlPr defaultSize="0" autoFill="0" autoLine="0" autoPict="0">
                <anchor moveWithCells="1">
                  <from>
                    <xdr:col>4</xdr:col>
                    <xdr:colOff>1181100</xdr:colOff>
                    <xdr:row>15</xdr:row>
                    <xdr:rowOff>133350</xdr:rowOff>
                  </from>
                  <to>
                    <xdr:col>5</xdr:col>
                    <xdr:colOff>1019175</xdr:colOff>
                    <xdr:row>17</xdr:row>
                    <xdr:rowOff>47625</xdr:rowOff>
                  </to>
                </anchor>
              </controlPr>
            </control>
          </mc:Choice>
        </mc:AlternateContent>
        <mc:AlternateContent xmlns:mc="http://schemas.openxmlformats.org/markup-compatibility/2006">
          <mc:Choice Requires="x14">
            <control shapeId="6145" r:id="rId7" name="Check Box 1">
              <controlPr defaultSize="0" autoFill="0" autoLine="0" autoPict="0">
                <anchor moveWithCells="1">
                  <from>
                    <xdr:col>4</xdr:col>
                    <xdr:colOff>1181100</xdr:colOff>
                    <xdr:row>14</xdr:row>
                    <xdr:rowOff>161925</xdr:rowOff>
                  </from>
                  <to>
                    <xdr:col>5</xdr:col>
                    <xdr:colOff>1095375</xdr:colOff>
                    <xdr:row>16</xdr:row>
                    <xdr:rowOff>57150</xdr:rowOff>
                  </to>
                </anchor>
              </controlPr>
            </control>
          </mc:Choice>
        </mc:AlternateContent>
        <mc:AlternateContent xmlns:mc="http://schemas.openxmlformats.org/markup-compatibility/2006">
          <mc:Choice Requires="x14">
            <control shapeId="6147" r:id="rId8" name="Check Box 3">
              <controlPr defaultSize="0" autoFill="0" autoLine="0" autoPict="0">
                <anchor moveWithCells="1">
                  <from>
                    <xdr:col>4</xdr:col>
                    <xdr:colOff>1181100</xdr:colOff>
                    <xdr:row>16</xdr:row>
                    <xdr:rowOff>114300</xdr:rowOff>
                  </from>
                  <to>
                    <xdr:col>5</xdr:col>
                    <xdr:colOff>885825</xdr:colOff>
                    <xdr:row>18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0FA64-9F64-4B22-A145-E14DA0D353CA}">
  <sheetPr codeName="Feuil2">
    <tabColor rgb="FF99CCFF"/>
  </sheetPr>
  <dimension ref="A1:F144"/>
  <sheetViews>
    <sheetView zoomScaleNormal="100" workbookViewId="0">
      <pane xSplit="2" ySplit="1" topLeftCell="C2" activePane="bottomRight" state="frozen"/>
      <selection pane="topRight" activeCell="C1" sqref="C1"/>
      <selection pane="bottomLeft" activeCell="A3" sqref="A3"/>
      <selection pane="bottomRight" activeCell="C3" sqref="C3"/>
    </sheetView>
  </sheetViews>
  <sheetFormatPr baseColWidth="10" defaultRowHeight="12.75" x14ac:dyDescent="0.25"/>
  <cols>
    <col min="1" max="1" width="11.42578125" style="10"/>
    <col min="2" max="2" width="45.85546875" style="12" bestFit="1" customWidth="1"/>
    <col min="3" max="3" width="31" style="10" customWidth="1"/>
    <col min="4" max="4" width="8.42578125" style="10" customWidth="1"/>
    <col min="5" max="5" width="76.42578125" style="12" customWidth="1"/>
    <col min="6" max="6" width="40.28515625" style="12" customWidth="1"/>
    <col min="7" max="16384" width="11.42578125" style="10"/>
  </cols>
  <sheetData>
    <row r="1" spans="1:6" ht="25.5" x14ac:dyDescent="0.25">
      <c r="A1" s="7" t="s">
        <v>52</v>
      </c>
      <c r="B1" s="8" t="s">
        <v>13</v>
      </c>
      <c r="C1" s="9" t="s">
        <v>123</v>
      </c>
      <c r="D1" s="7" t="s">
        <v>11</v>
      </c>
      <c r="E1" s="8" t="s">
        <v>10</v>
      </c>
      <c r="F1" s="8" t="s">
        <v>36</v>
      </c>
    </row>
    <row r="2" spans="1:6" x14ac:dyDescent="0.25">
      <c r="A2" s="11" t="s">
        <v>57</v>
      </c>
      <c r="C2" s="13"/>
      <c r="D2" s="13"/>
      <c r="E2" s="14"/>
      <c r="F2" s="14"/>
    </row>
    <row r="3" spans="1:6" x14ac:dyDescent="0.25">
      <c r="B3" s="15" t="s">
        <v>155</v>
      </c>
      <c r="C3" s="16"/>
      <c r="D3" s="10" t="s">
        <v>12</v>
      </c>
      <c r="E3" s="12" t="s">
        <v>14</v>
      </c>
      <c r="F3" s="17" t="str">
        <f>IF(ISBLANK(C3),"La donnée est manquante","")</f>
        <v>La donnée est manquante</v>
      </c>
    </row>
    <row r="4" spans="1:6" x14ac:dyDescent="0.25">
      <c r="B4" s="15" t="s">
        <v>156</v>
      </c>
      <c r="C4" s="16"/>
      <c r="D4" s="10" t="s">
        <v>12</v>
      </c>
      <c r="E4" s="12" t="s">
        <v>14</v>
      </c>
      <c r="F4" s="17" t="str">
        <f>IF(ISBLANK(C4),"La donnée est manquante","")</f>
        <v>La donnée est manquante</v>
      </c>
    </row>
    <row r="5" spans="1:6" x14ac:dyDescent="0.25">
      <c r="B5" s="15" t="s">
        <v>143</v>
      </c>
      <c r="C5" s="18">
        <v>1</v>
      </c>
      <c r="F5" s="183"/>
    </row>
    <row r="6" spans="1:6" x14ac:dyDescent="0.25">
      <c r="C6" s="19"/>
    </row>
    <row r="7" spans="1:6" x14ac:dyDescent="0.25">
      <c r="A7" s="11" t="s">
        <v>58</v>
      </c>
    </row>
    <row r="8" spans="1:6" x14ac:dyDescent="0.25">
      <c r="A8" s="13" t="s">
        <v>157</v>
      </c>
      <c r="E8" s="12" t="s">
        <v>15</v>
      </c>
    </row>
    <row r="9" spans="1:6" x14ac:dyDescent="0.25">
      <c r="A9" s="10">
        <v>1</v>
      </c>
      <c r="B9" s="15" t="s">
        <v>18</v>
      </c>
      <c r="C9" s="20" t="s">
        <v>186</v>
      </c>
    </row>
    <row r="10" spans="1:6" x14ac:dyDescent="0.25">
      <c r="A10" s="10">
        <v>2</v>
      </c>
      <c r="B10" s="15" t="s">
        <v>39</v>
      </c>
      <c r="C10" s="21">
        <f>MAX(C11,C13,C15)</f>
        <v>40</v>
      </c>
      <c r="D10" s="10" t="s">
        <v>26</v>
      </c>
    </row>
    <row r="11" spans="1:6" x14ac:dyDescent="0.25">
      <c r="A11" s="10">
        <v>3</v>
      </c>
      <c r="B11" s="15" t="s">
        <v>177</v>
      </c>
      <c r="C11" s="22">
        <v>40</v>
      </c>
      <c r="D11" s="10" t="s">
        <v>26</v>
      </c>
    </row>
    <row r="12" spans="1:6" x14ac:dyDescent="0.25">
      <c r="A12" s="10">
        <v>4</v>
      </c>
      <c r="B12" s="15" t="s">
        <v>179</v>
      </c>
      <c r="C12" s="23">
        <v>35</v>
      </c>
      <c r="D12" s="10" t="s">
        <v>27</v>
      </c>
    </row>
    <row r="13" spans="1:6" ht="25.5" x14ac:dyDescent="0.25">
      <c r="A13" s="10">
        <v>5</v>
      </c>
      <c r="B13" s="15" t="s">
        <v>183</v>
      </c>
      <c r="C13" s="22">
        <v>32</v>
      </c>
      <c r="D13" s="10" t="s">
        <v>26</v>
      </c>
    </row>
    <row r="14" spans="1:6" x14ac:dyDescent="0.25">
      <c r="A14" s="10">
        <v>6</v>
      </c>
      <c r="B14" s="15" t="s">
        <v>180</v>
      </c>
      <c r="C14" s="23">
        <v>41</v>
      </c>
      <c r="D14" s="10" t="s">
        <v>27</v>
      </c>
    </row>
    <row r="15" spans="1:6" x14ac:dyDescent="0.25">
      <c r="A15" s="10">
        <v>7</v>
      </c>
      <c r="B15" s="15" t="s">
        <v>172</v>
      </c>
      <c r="C15" s="22">
        <v>0</v>
      </c>
      <c r="D15" s="10" t="s">
        <v>26</v>
      </c>
    </row>
    <row r="17" spans="1:5" x14ac:dyDescent="0.25">
      <c r="A17" s="13" t="s">
        <v>158</v>
      </c>
      <c r="E17" s="12" t="s">
        <v>15</v>
      </c>
    </row>
    <row r="18" spans="1:5" x14ac:dyDescent="0.25">
      <c r="A18" s="24" t="s">
        <v>77</v>
      </c>
    </row>
    <row r="19" spans="1:5" x14ac:dyDescent="0.25">
      <c r="A19" s="10">
        <v>1</v>
      </c>
      <c r="B19" s="15" t="s">
        <v>18</v>
      </c>
      <c r="C19" s="20" t="s">
        <v>187</v>
      </c>
    </row>
    <row r="20" spans="1:5" x14ac:dyDescent="0.25">
      <c r="A20" s="10">
        <v>2</v>
      </c>
      <c r="B20" s="15" t="s">
        <v>39</v>
      </c>
      <c r="C20" s="21">
        <f>MAX(C21,C23,C25)</f>
        <v>16</v>
      </c>
      <c r="D20" s="10" t="s">
        <v>26</v>
      </c>
    </row>
    <row r="21" spans="1:5" x14ac:dyDescent="0.25">
      <c r="A21" s="10">
        <v>3</v>
      </c>
      <c r="B21" s="15" t="s">
        <v>178</v>
      </c>
      <c r="C21" s="22">
        <v>16</v>
      </c>
      <c r="D21" s="10" t="s">
        <v>26</v>
      </c>
    </row>
    <row r="22" spans="1:5" x14ac:dyDescent="0.25">
      <c r="A22" s="10">
        <v>4</v>
      </c>
      <c r="B22" s="15" t="s">
        <v>179</v>
      </c>
      <c r="C22" s="25">
        <f>Param_SminR</f>
        <v>0</v>
      </c>
      <c r="D22" s="10" t="s">
        <v>12</v>
      </c>
      <c r="E22" s="12" t="s">
        <v>29</v>
      </c>
    </row>
    <row r="23" spans="1:5" x14ac:dyDescent="0.25">
      <c r="A23" s="10">
        <v>5</v>
      </c>
      <c r="B23" s="15" t="s">
        <v>184</v>
      </c>
      <c r="C23" s="22" t="s">
        <v>28</v>
      </c>
      <c r="D23" s="10" t="s">
        <v>26</v>
      </c>
    </row>
    <row r="24" spans="1:5" x14ac:dyDescent="0.25">
      <c r="A24" s="10">
        <v>6</v>
      </c>
      <c r="B24" s="15" t="s">
        <v>180</v>
      </c>
      <c r="C24" s="25">
        <f>Param_SMaxR</f>
        <v>0</v>
      </c>
      <c r="D24" s="10" t="s">
        <v>12</v>
      </c>
      <c r="E24" s="12" t="s">
        <v>30</v>
      </c>
    </row>
    <row r="25" spans="1:5" x14ac:dyDescent="0.25">
      <c r="A25" s="10">
        <v>7</v>
      </c>
      <c r="B25" s="15" t="s">
        <v>181</v>
      </c>
      <c r="C25" s="22">
        <v>0</v>
      </c>
      <c r="D25" s="10" t="s">
        <v>26</v>
      </c>
    </row>
    <row r="26" spans="1:5" x14ac:dyDescent="0.25">
      <c r="A26" s="24" t="s">
        <v>59</v>
      </c>
      <c r="B26" s="26"/>
    </row>
    <row r="27" spans="1:5" x14ac:dyDescent="0.25">
      <c r="A27" s="10">
        <v>1</v>
      </c>
      <c r="B27" s="15" t="s">
        <v>18</v>
      </c>
      <c r="C27" s="20" t="s">
        <v>186</v>
      </c>
    </row>
    <row r="28" spans="1:5" x14ac:dyDescent="0.25">
      <c r="A28" s="10">
        <v>2</v>
      </c>
      <c r="B28" s="15" t="s">
        <v>39</v>
      </c>
      <c r="C28" s="21">
        <f>MAX(C29,C31,C33)</f>
        <v>4</v>
      </c>
      <c r="D28" s="10" t="s">
        <v>26</v>
      </c>
    </row>
    <row r="29" spans="1:5" x14ac:dyDescent="0.25">
      <c r="A29" s="10">
        <v>3</v>
      </c>
      <c r="B29" s="15" t="s">
        <v>178</v>
      </c>
      <c r="C29" s="22">
        <v>4</v>
      </c>
      <c r="D29" s="10" t="s">
        <v>26</v>
      </c>
    </row>
    <row r="30" spans="1:5" x14ac:dyDescent="0.25">
      <c r="A30" s="10">
        <v>4</v>
      </c>
      <c r="B30" s="15" t="s">
        <v>179</v>
      </c>
      <c r="C30" s="25">
        <f>Param_SminR</f>
        <v>0</v>
      </c>
      <c r="D30" s="10" t="s">
        <v>12</v>
      </c>
      <c r="E30" s="12" t="s">
        <v>29</v>
      </c>
    </row>
    <row r="31" spans="1:5" x14ac:dyDescent="0.25">
      <c r="A31" s="10">
        <v>5</v>
      </c>
      <c r="B31" s="15" t="s">
        <v>184</v>
      </c>
      <c r="C31" s="22">
        <v>0</v>
      </c>
      <c r="D31" s="10" t="s">
        <v>26</v>
      </c>
    </row>
    <row r="32" spans="1:5" x14ac:dyDescent="0.25">
      <c r="A32" s="10">
        <v>6</v>
      </c>
      <c r="B32" s="15" t="s">
        <v>180</v>
      </c>
      <c r="C32" s="25">
        <f>Param_SMaxR</f>
        <v>0</v>
      </c>
      <c r="D32" s="10" t="s">
        <v>12</v>
      </c>
      <c r="E32" s="12" t="s">
        <v>182</v>
      </c>
    </row>
    <row r="33" spans="1:5" x14ac:dyDescent="0.25">
      <c r="A33" s="10">
        <v>7</v>
      </c>
      <c r="B33" s="15" t="s">
        <v>181</v>
      </c>
      <c r="C33" s="22">
        <v>0</v>
      </c>
      <c r="D33" s="10" t="s">
        <v>26</v>
      </c>
    </row>
    <row r="35" spans="1:5" x14ac:dyDescent="0.25">
      <c r="A35" s="13" t="s">
        <v>159</v>
      </c>
      <c r="E35" s="12" t="s">
        <v>15</v>
      </c>
    </row>
    <row r="36" spans="1:5" x14ac:dyDescent="0.25">
      <c r="A36" s="24" t="s">
        <v>75</v>
      </c>
      <c r="B36" s="26"/>
      <c r="C36" s="27"/>
    </row>
    <row r="37" spans="1:5" x14ac:dyDescent="0.25">
      <c r="A37" s="10">
        <v>1</v>
      </c>
      <c r="B37" s="15" t="s">
        <v>18</v>
      </c>
      <c r="C37" s="20" t="s">
        <v>187</v>
      </c>
    </row>
    <row r="38" spans="1:5" x14ac:dyDescent="0.25">
      <c r="A38" s="10">
        <v>2</v>
      </c>
      <c r="B38" s="15" t="s">
        <v>39</v>
      </c>
      <c r="C38" s="21">
        <f>MAX(C39,C41,C43)</f>
        <v>10</v>
      </c>
      <c r="D38" s="10" t="s">
        <v>26</v>
      </c>
    </row>
    <row r="39" spans="1:5" x14ac:dyDescent="0.25">
      <c r="A39" s="10">
        <v>3</v>
      </c>
      <c r="B39" s="15" t="s">
        <v>178</v>
      </c>
      <c r="C39" s="22">
        <v>10</v>
      </c>
      <c r="D39" s="10" t="s">
        <v>26</v>
      </c>
    </row>
    <row r="40" spans="1:5" x14ac:dyDescent="0.25">
      <c r="A40" s="10">
        <v>4</v>
      </c>
      <c r="B40" s="15" t="s">
        <v>179</v>
      </c>
      <c r="C40" s="28" t="s">
        <v>33</v>
      </c>
      <c r="D40" s="10" t="s">
        <v>35</v>
      </c>
      <c r="E40" s="12" t="s">
        <v>37</v>
      </c>
    </row>
    <row r="41" spans="1:5" x14ac:dyDescent="0.25">
      <c r="A41" s="10">
        <v>5</v>
      </c>
      <c r="B41" s="15" t="s">
        <v>184</v>
      </c>
      <c r="C41" s="22" t="s">
        <v>28</v>
      </c>
      <c r="D41" s="10" t="s">
        <v>26</v>
      </c>
    </row>
    <row r="42" spans="1:5" x14ac:dyDescent="0.25">
      <c r="A42" s="10">
        <v>6</v>
      </c>
      <c r="B42" s="15" t="s">
        <v>180</v>
      </c>
      <c r="C42" s="28" t="s">
        <v>34</v>
      </c>
      <c r="D42" s="10" t="s">
        <v>35</v>
      </c>
      <c r="E42" s="12" t="s">
        <v>37</v>
      </c>
    </row>
    <row r="43" spans="1:5" x14ac:dyDescent="0.25">
      <c r="A43" s="10">
        <v>7</v>
      </c>
      <c r="B43" s="15" t="s">
        <v>181</v>
      </c>
      <c r="C43" s="22">
        <v>0</v>
      </c>
      <c r="D43" s="10" t="s">
        <v>26</v>
      </c>
    </row>
    <row r="44" spans="1:5" x14ac:dyDescent="0.25">
      <c r="A44" s="24" t="s">
        <v>76</v>
      </c>
      <c r="B44" s="29"/>
      <c r="C44" s="24"/>
    </row>
    <row r="45" spans="1:5" x14ac:dyDescent="0.25">
      <c r="A45" s="10">
        <v>1</v>
      </c>
      <c r="B45" s="15" t="s">
        <v>18</v>
      </c>
      <c r="C45" s="20" t="s">
        <v>187</v>
      </c>
    </row>
    <row r="46" spans="1:5" x14ac:dyDescent="0.25">
      <c r="A46" s="10">
        <v>2</v>
      </c>
      <c r="B46" s="15" t="s">
        <v>39</v>
      </c>
      <c r="C46" s="21">
        <f>MAX(C47,C49,C51)</f>
        <v>10</v>
      </c>
      <c r="D46" s="10" t="s">
        <v>26</v>
      </c>
    </row>
    <row r="47" spans="1:5" x14ac:dyDescent="0.25">
      <c r="A47" s="10">
        <v>3</v>
      </c>
      <c r="B47" s="15" t="s">
        <v>178</v>
      </c>
      <c r="C47" s="22">
        <v>10</v>
      </c>
      <c r="D47" s="10" t="s">
        <v>26</v>
      </c>
    </row>
    <row r="48" spans="1:5" x14ac:dyDescent="0.25">
      <c r="A48" s="10">
        <v>4</v>
      </c>
      <c r="B48" s="15" t="s">
        <v>179</v>
      </c>
      <c r="C48" s="28" t="s">
        <v>33</v>
      </c>
      <c r="D48" s="10" t="s">
        <v>35</v>
      </c>
      <c r="E48" s="12" t="s">
        <v>37</v>
      </c>
    </row>
    <row r="49" spans="1:5" x14ac:dyDescent="0.25">
      <c r="A49" s="10">
        <v>5</v>
      </c>
      <c r="B49" s="15" t="s">
        <v>184</v>
      </c>
      <c r="C49" s="22" t="s">
        <v>28</v>
      </c>
      <c r="D49" s="10" t="s">
        <v>26</v>
      </c>
    </row>
    <row r="50" spans="1:5" x14ac:dyDescent="0.25">
      <c r="A50" s="10">
        <v>6</v>
      </c>
      <c r="B50" s="15" t="s">
        <v>180</v>
      </c>
      <c r="C50" s="28" t="s">
        <v>34</v>
      </c>
      <c r="D50" s="10" t="s">
        <v>35</v>
      </c>
      <c r="E50" s="12" t="s">
        <v>37</v>
      </c>
    </row>
    <row r="51" spans="1:5" x14ac:dyDescent="0.25">
      <c r="A51" s="10">
        <v>7</v>
      </c>
      <c r="B51" s="15" t="s">
        <v>181</v>
      </c>
      <c r="C51" s="22">
        <v>0</v>
      </c>
      <c r="D51" s="10" t="s">
        <v>26</v>
      </c>
    </row>
    <row r="53" spans="1:5" x14ac:dyDescent="0.25">
      <c r="A53" s="13" t="s">
        <v>160</v>
      </c>
      <c r="E53" s="12" t="s">
        <v>15</v>
      </c>
    </row>
    <row r="54" spans="1:5" x14ac:dyDescent="0.25">
      <c r="A54" s="13" t="s">
        <v>78</v>
      </c>
    </row>
    <row r="55" spans="1:5" x14ac:dyDescent="0.25">
      <c r="A55" s="24" t="s">
        <v>79</v>
      </c>
      <c r="B55" s="26"/>
      <c r="C55" s="27"/>
    </row>
    <row r="56" spans="1:5" x14ac:dyDescent="0.25">
      <c r="A56" s="10">
        <v>1</v>
      </c>
      <c r="B56" s="15" t="s">
        <v>18</v>
      </c>
      <c r="C56" s="20" t="s">
        <v>187</v>
      </c>
    </row>
    <row r="57" spans="1:5" x14ac:dyDescent="0.25">
      <c r="A57" s="10">
        <v>2</v>
      </c>
      <c r="B57" s="15" t="s">
        <v>39</v>
      </c>
      <c r="C57" s="21">
        <f>MAX(C58,C60,C62)</f>
        <v>4</v>
      </c>
      <c r="D57" s="10" t="s">
        <v>26</v>
      </c>
    </row>
    <row r="58" spans="1:5" x14ac:dyDescent="0.25">
      <c r="A58" s="10">
        <v>3</v>
      </c>
      <c r="B58" s="15" t="s">
        <v>178</v>
      </c>
      <c r="C58" s="22">
        <v>4</v>
      </c>
      <c r="D58" s="10" t="s">
        <v>26</v>
      </c>
    </row>
    <row r="59" spans="1:5" x14ac:dyDescent="0.25">
      <c r="A59" s="10">
        <v>4</v>
      </c>
      <c r="B59" s="15" t="s">
        <v>179</v>
      </c>
      <c r="C59" s="28" t="s">
        <v>33</v>
      </c>
      <c r="D59" s="10" t="s">
        <v>35</v>
      </c>
      <c r="E59" s="12" t="s">
        <v>37</v>
      </c>
    </row>
    <row r="60" spans="1:5" x14ac:dyDescent="0.25">
      <c r="A60" s="10">
        <v>5</v>
      </c>
      <c r="B60" s="15" t="s">
        <v>184</v>
      </c>
      <c r="C60" s="22" t="s">
        <v>28</v>
      </c>
      <c r="D60" s="10" t="s">
        <v>26</v>
      </c>
    </row>
    <row r="61" spans="1:5" x14ac:dyDescent="0.25">
      <c r="A61" s="10">
        <v>6</v>
      </c>
      <c r="B61" s="15" t="s">
        <v>180</v>
      </c>
      <c r="C61" s="28" t="s">
        <v>34</v>
      </c>
      <c r="D61" s="10" t="s">
        <v>35</v>
      </c>
      <c r="E61" s="12" t="s">
        <v>37</v>
      </c>
    </row>
    <row r="62" spans="1:5" x14ac:dyDescent="0.25">
      <c r="A62" s="10">
        <v>7</v>
      </c>
      <c r="B62" s="15" t="s">
        <v>181</v>
      </c>
      <c r="C62" s="22">
        <v>0</v>
      </c>
      <c r="D62" s="10" t="s">
        <v>26</v>
      </c>
    </row>
    <row r="63" spans="1:5" x14ac:dyDescent="0.25">
      <c r="A63" s="24" t="s">
        <v>80</v>
      </c>
      <c r="B63" s="29"/>
      <c r="C63" s="24"/>
    </row>
    <row r="64" spans="1:5" x14ac:dyDescent="0.25">
      <c r="A64" s="10">
        <v>1</v>
      </c>
      <c r="B64" s="15" t="s">
        <v>18</v>
      </c>
      <c r="C64" s="20" t="s">
        <v>187</v>
      </c>
    </row>
    <row r="65" spans="1:5" x14ac:dyDescent="0.25">
      <c r="A65" s="10">
        <v>2</v>
      </c>
      <c r="B65" s="15" t="s">
        <v>39</v>
      </c>
      <c r="C65" s="21">
        <f>MAX(C66,C68,C70)</f>
        <v>4</v>
      </c>
      <c r="D65" s="10" t="s">
        <v>26</v>
      </c>
    </row>
    <row r="66" spans="1:5" x14ac:dyDescent="0.25">
      <c r="A66" s="10">
        <v>3</v>
      </c>
      <c r="B66" s="15" t="s">
        <v>178</v>
      </c>
      <c r="C66" s="22">
        <v>4</v>
      </c>
      <c r="D66" s="10" t="s">
        <v>26</v>
      </c>
    </row>
    <row r="67" spans="1:5" x14ac:dyDescent="0.25">
      <c r="A67" s="10">
        <v>4</v>
      </c>
      <c r="B67" s="15" t="s">
        <v>179</v>
      </c>
      <c r="C67" s="28" t="s">
        <v>33</v>
      </c>
      <c r="D67" s="10" t="s">
        <v>35</v>
      </c>
      <c r="E67" s="12" t="s">
        <v>37</v>
      </c>
    </row>
    <row r="68" spans="1:5" x14ac:dyDescent="0.25">
      <c r="A68" s="10">
        <v>5</v>
      </c>
      <c r="B68" s="15" t="s">
        <v>184</v>
      </c>
      <c r="C68" s="22" t="s">
        <v>28</v>
      </c>
      <c r="D68" s="10" t="s">
        <v>26</v>
      </c>
    </row>
    <row r="69" spans="1:5" x14ac:dyDescent="0.25">
      <c r="A69" s="10">
        <v>6</v>
      </c>
      <c r="B69" s="15" t="s">
        <v>180</v>
      </c>
      <c r="C69" s="28" t="s">
        <v>34</v>
      </c>
      <c r="D69" s="10" t="s">
        <v>35</v>
      </c>
      <c r="E69" s="12" t="s">
        <v>37</v>
      </c>
    </row>
    <row r="70" spans="1:5" x14ac:dyDescent="0.25">
      <c r="A70" s="10">
        <v>7</v>
      </c>
      <c r="B70" s="15" t="s">
        <v>181</v>
      </c>
      <c r="C70" s="22">
        <v>0</v>
      </c>
      <c r="D70" s="10" t="s">
        <v>26</v>
      </c>
    </row>
    <row r="71" spans="1:5" x14ac:dyDescent="0.25">
      <c r="A71" s="24" t="s">
        <v>81</v>
      </c>
      <c r="B71" s="26"/>
      <c r="C71" s="27"/>
    </row>
    <row r="72" spans="1:5" x14ac:dyDescent="0.25">
      <c r="A72" s="10">
        <v>1</v>
      </c>
      <c r="B72" s="15" t="s">
        <v>18</v>
      </c>
      <c r="C72" s="20" t="s">
        <v>187</v>
      </c>
    </row>
    <row r="73" spans="1:5" x14ac:dyDescent="0.25">
      <c r="A73" s="10">
        <v>2</v>
      </c>
      <c r="B73" s="15" t="s">
        <v>39</v>
      </c>
      <c r="C73" s="21">
        <f>MAX(C74,C76,C78)</f>
        <v>4</v>
      </c>
      <c r="D73" s="10" t="s">
        <v>26</v>
      </c>
    </row>
    <row r="74" spans="1:5" x14ac:dyDescent="0.25">
      <c r="A74" s="10">
        <v>3</v>
      </c>
      <c r="B74" s="15" t="s">
        <v>178</v>
      </c>
      <c r="C74" s="22">
        <v>4</v>
      </c>
      <c r="D74" s="10" t="s">
        <v>26</v>
      </c>
    </row>
    <row r="75" spans="1:5" x14ac:dyDescent="0.25">
      <c r="A75" s="10">
        <v>4</v>
      </c>
      <c r="B75" s="15" t="s">
        <v>179</v>
      </c>
      <c r="C75" s="28" t="s">
        <v>33</v>
      </c>
      <c r="D75" s="10" t="s">
        <v>103</v>
      </c>
      <c r="E75" s="12" t="s">
        <v>37</v>
      </c>
    </row>
    <row r="76" spans="1:5" x14ac:dyDescent="0.25">
      <c r="A76" s="10">
        <v>5</v>
      </c>
      <c r="B76" s="15" t="s">
        <v>184</v>
      </c>
      <c r="C76" s="22" t="s">
        <v>28</v>
      </c>
      <c r="D76" s="10" t="s">
        <v>26</v>
      </c>
    </row>
    <row r="77" spans="1:5" x14ac:dyDescent="0.25">
      <c r="A77" s="10">
        <v>6</v>
      </c>
      <c r="B77" s="15" t="s">
        <v>180</v>
      </c>
      <c r="C77" s="28" t="s">
        <v>34</v>
      </c>
      <c r="D77" s="10" t="s">
        <v>103</v>
      </c>
      <c r="E77" s="12" t="s">
        <v>37</v>
      </c>
    </row>
    <row r="78" spans="1:5" x14ac:dyDescent="0.25">
      <c r="A78" s="10">
        <v>7</v>
      </c>
      <c r="B78" s="15" t="s">
        <v>181</v>
      </c>
      <c r="C78" s="22">
        <v>0</v>
      </c>
      <c r="D78" s="10" t="s">
        <v>26</v>
      </c>
    </row>
    <row r="79" spans="1:5" x14ac:dyDescent="0.25">
      <c r="A79" s="13" t="s">
        <v>95</v>
      </c>
    </row>
    <row r="80" spans="1:5" x14ac:dyDescent="0.25">
      <c r="A80" s="10">
        <v>1</v>
      </c>
      <c r="B80" s="15" t="s">
        <v>18</v>
      </c>
      <c r="C80" s="20" t="s">
        <v>187</v>
      </c>
    </row>
    <row r="81" spans="1:6" x14ac:dyDescent="0.25">
      <c r="A81" s="10">
        <v>2</v>
      </c>
      <c r="B81" s="15" t="s">
        <v>39</v>
      </c>
      <c r="C81" s="21">
        <f>MAX(C82,C84,C86)</f>
        <v>8</v>
      </c>
      <c r="D81" s="10" t="s">
        <v>26</v>
      </c>
    </row>
    <row r="82" spans="1:6" x14ac:dyDescent="0.25">
      <c r="A82" s="10">
        <v>3</v>
      </c>
      <c r="B82" s="15" t="s">
        <v>178</v>
      </c>
      <c r="C82" s="22">
        <v>8</v>
      </c>
      <c r="D82" s="10" t="s">
        <v>26</v>
      </c>
    </row>
    <row r="83" spans="1:6" x14ac:dyDescent="0.25">
      <c r="A83" s="10">
        <v>4</v>
      </c>
      <c r="B83" s="15" t="s">
        <v>179</v>
      </c>
      <c r="C83" s="28" t="s">
        <v>33</v>
      </c>
      <c r="D83" s="10" t="s">
        <v>103</v>
      </c>
      <c r="E83" s="12" t="s">
        <v>37</v>
      </c>
    </row>
    <row r="84" spans="1:6" x14ac:dyDescent="0.25">
      <c r="A84" s="10">
        <v>5</v>
      </c>
      <c r="B84" s="15" t="s">
        <v>184</v>
      </c>
      <c r="C84" s="22" t="s">
        <v>28</v>
      </c>
      <c r="D84" s="10" t="s">
        <v>26</v>
      </c>
    </row>
    <row r="85" spans="1:6" x14ac:dyDescent="0.25">
      <c r="A85" s="10">
        <v>6</v>
      </c>
      <c r="B85" s="15" t="s">
        <v>180</v>
      </c>
      <c r="C85" s="28" t="s">
        <v>34</v>
      </c>
      <c r="D85" s="10" t="s">
        <v>103</v>
      </c>
      <c r="E85" s="12" t="s">
        <v>37</v>
      </c>
    </row>
    <row r="86" spans="1:6" x14ac:dyDescent="0.25">
      <c r="A86" s="10">
        <v>7</v>
      </c>
      <c r="B86" s="15" t="s">
        <v>181</v>
      </c>
      <c r="C86" s="22">
        <v>0</v>
      </c>
      <c r="D86" s="10" t="s">
        <v>26</v>
      </c>
    </row>
    <row r="88" spans="1:6" x14ac:dyDescent="0.25">
      <c r="A88" s="11" t="s">
        <v>194</v>
      </c>
    </row>
    <row r="89" spans="1:6" x14ac:dyDescent="0.25">
      <c r="A89" s="13" t="s">
        <v>108</v>
      </c>
    </row>
    <row r="90" spans="1:6" ht="25.5" x14ac:dyDescent="0.25">
      <c r="A90" s="10">
        <v>0</v>
      </c>
      <c r="B90" s="15" t="s">
        <v>109</v>
      </c>
      <c r="C90" s="30" t="s">
        <v>119</v>
      </c>
      <c r="E90" s="31" t="str">
        <f>VLOOKUP(C91,List_Type_Critères_Détails_Par_Nom,2,0)</f>
        <v>Le critère ne sera pas utilisé pour l'évaluation des offres</v>
      </c>
    </row>
    <row r="91" spans="1:6" x14ac:dyDescent="0.25">
      <c r="A91" s="10">
        <v>1</v>
      </c>
      <c r="B91" s="15" t="s">
        <v>18</v>
      </c>
      <c r="C91" s="32" t="s">
        <v>22</v>
      </c>
    </row>
    <row r="92" spans="1:6" x14ac:dyDescent="0.25">
      <c r="A92" s="10">
        <v>2</v>
      </c>
      <c r="B92" s="15" t="s">
        <v>198</v>
      </c>
      <c r="C92" s="21">
        <f>IF(C91=Const_PasCrit,0,IF(C91=Const_Manuel,C93,IF(C91=Const_PlanIncl,MAX(C93,C97),MAX(C93,C95,C97))))</f>
        <v>0</v>
      </c>
      <c r="D92" s="10" t="s">
        <v>26</v>
      </c>
      <c r="E92" s="33"/>
    </row>
    <row r="93" spans="1:6" x14ac:dyDescent="0.25">
      <c r="A93" s="10">
        <v>3</v>
      </c>
      <c r="B93" s="31" t="str">
        <f>VLOOKUP(C91,List_Type_Critères_Détails_Par_Nom,4,0)</f>
        <v>Non utilisé</v>
      </c>
      <c r="C93" s="34"/>
      <c r="D93" s="10" t="s">
        <v>26</v>
      </c>
      <c r="E93" s="33"/>
    </row>
    <row r="94" spans="1:6" ht="63.75" x14ac:dyDescent="0.25">
      <c r="A94" s="10">
        <v>4</v>
      </c>
      <c r="B94" s="15" t="s">
        <v>175</v>
      </c>
      <c r="C94" s="35" t="s">
        <v>33</v>
      </c>
      <c r="D94" s="36"/>
      <c r="E94" s="12" t="s">
        <v>199</v>
      </c>
    </row>
    <row r="95" spans="1:6" ht="28.5" customHeight="1" x14ac:dyDescent="0.25">
      <c r="A95" s="10">
        <v>5</v>
      </c>
      <c r="B95" s="31" t="str">
        <f>VLOOKUP(C91,List_Type_Critères_Détails_Par_Nom,5,0)</f>
        <v>Non utilisé</v>
      </c>
      <c r="C95" s="34"/>
      <c r="D95" s="10" t="s">
        <v>26</v>
      </c>
      <c r="F95" s="17" t="str">
        <f>IF(AND(C91=Const_Manuel,NOT(ISBLANK(C95))),"doit être vide","")</f>
        <v/>
      </c>
    </row>
    <row r="96" spans="1:6" ht="63.75" x14ac:dyDescent="0.25">
      <c r="A96" s="10">
        <v>6</v>
      </c>
      <c r="B96" s="15" t="s">
        <v>176</v>
      </c>
      <c r="C96" s="35" t="s">
        <v>34</v>
      </c>
      <c r="D96" s="36"/>
      <c r="E96" s="12" t="s">
        <v>200</v>
      </c>
    </row>
    <row r="97" spans="1:6" x14ac:dyDescent="0.25">
      <c r="A97" s="10">
        <v>7</v>
      </c>
      <c r="B97" s="31" t="str">
        <f>VLOOKUP(C91,List_Type_Critères_Détails_Par_Nom,6,0)</f>
        <v>Non utilisé</v>
      </c>
      <c r="C97" s="34"/>
      <c r="D97" s="10" t="s">
        <v>26</v>
      </c>
      <c r="F97" s="17" t="str">
        <f>IF(AND(C91=Const_Manuel,NOT(ISBLANK(C97))),"doit être vide","")</f>
        <v/>
      </c>
    </row>
    <row r="98" spans="1:6" x14ac:dyDescent="0.25">
      <c r="A98" s="10">
        <v>8</v>
      </c>
      <c r="B98" s="271" t="s">
        <v>197</v>
      </c>
      <c r="C98" s="13"/>
    </row>
    <row r="100" spans="1:6" x14ac:dyDescent="0.25">
      <c r="A100" s="13" t="s">
        <v>125</v>
      </c>
    </row>
    <row r="101" spans="1:6" ht="25.5" x14ac:dyDescent="0.25">
      <c r="A101" s="10">
        <v>0</v>
      </c>
      <c r="B101" s="15" t="s">
        <v>109</v>
      </c>
      <c r="C101" s="30" t="s">
        <v>126</v>
      </c>
      <c r="E101" s="31" t="str">
        <f>VLOOKUP(C102,List_Type_Critères_Détails_Par_Nom,2,0)</f>
        <v>Le critère ne sera pas utilisé pour l'évaluation des offres</v>
      </c>
    </row>
    <row r="102" spans="1:6" x14ac:dyDescent="0.25">
      <c r="A102" s="10">
        <v>1</v>
      </c>
      <c r="B102" s="15" t="s">
        <v>18</v>
      </c>
      <c r="C102" s="32" t="s">
        <v>22</v>
      </c>
    </row>
    <row r="103" spans="1:6" x14ac:dyDescent="0.25">
      <c r="A103" s="10">
        <v>2</v>
      </c>
      <c r="B103" s="15" t="s">
        <v>198</v>
      </c>
      <c r="C103" s="21">
        <f>IF(C102=Const_PasCrit,0,IF(C102=Const_Manuel,C104,IF(C102=Const_PlanIncl,MAX(C104,C108),MAX(C104,C106,C108))))</f>
        <v>0</v>
      </c>
      <c r="D103" s="10" t="s">
        <v>26</v>
      </c>
      <c r="E103" s="33"/>
    </row>
    <row r="104" spans="1:6" x14ac:dyDescent="0.25">
      <c r="A104" s="10">
        <v>3</v>
      </c>
      <c r="B104" s="31" t="str">
        <f>VLOOKUP(C102,List_Type_Critères_Détails_Par_Nom,4,0)</f>
        <v>Non utilisé</v>
      </c>
      <c r="C104" s="34"/>
      <c r="D104" s="10" t="s">
        <v>26</v>
      </c>
      <c r="E104" s="33"/>
    </row>
    <row r="105" spans="1:6" ht="63.75" x14ac:dyDescent="0.25">
      <c r="A105" s="10">
        <v>4</v>
      </c>
      <c r="B105" s="15" t="s">
        <v>179</v>
      </c>
      <c r="C105" s="35" t="s">
        <v>33</v>
      </c>
      <c r="D105" s="36"/>
      <c r="E105" s="12" t="s">
        <v>199</v>
      </c>
    </row>
    <row r="106" spans="1:6" ht="27.75" customHeight="1" x14ac:dyDescent="0.25">
      <c r="A106" s="10">
        <v>5</v>
      </c>
      <c r="B106" s="31" t="str">
        <f>VLOOKUP(C102,List_Type_Critères_Détails_Par_Nom,5,0)</f>
        <v>Non utilisé</v>
      </c>
      <c r="C106" s="34"/>
      <c r="D106" s="10" t="s">
        <v>26</v>
      </c>
      <c r="F106" s="17" t="str">
        <f>IF(AND(C102=Const_Manuel,NOT(ISBLANK(C106))),"doit être vide","")</f>
        <v/>
      </c>
    </row>
    <row r="107" spans="1:6" ht="63.75" x14ac:dyDescent="0.25">
      <c r="A107" s="10">
        <v>6</v>
      </c>
      <c r="B107" s="15" t="s">
        <v>180</v>
      </c>
      <c r="C107" s="35" t="s">
        <v>34</v>
      </c>
      <c r="D107" s="36"/>
      <c r="E107" s="12" t="s">
        <v>200</v>
      </c>
    </row>
    <row r="108" spans="1:6" x14ac:dyDescent="0.25">
      <c r="A108" s="10">
        <v>7</v>
      </c>
      <c r="B108" s="31" t="str">
        <f>VLOOKUP(C102,List_Type_Critères_Détails_Par_Nom,6,0)</f>
        <v>Non utilisé</v>
      </c>
      <c r="C108" s="34"/>
      <c r="D108" s="10" t="s">
        <v>26</v>
      </c>
      <c r="F108" s="17" t="str">
        <f>IF(AND(C102=Const_Manuel,NOT(ISBLANK(C108))),"doit être vide","")</f>
        <v/>
      </c>
    </row>
    <row r="109" spans="1:6" x14ac:dyDescent="0.25">
      <c r="A109" s="10">
        <v>8</v>
      </c>
      <c r="B109" s="271" t="s">
        <v>197</v>
      </c>
      <c r="C109" s="13"/>
    </row>
    <row r="111" spans="1:6" x14ac:dyDescent="0.25">
      <c r="A111" s="13" t="s">
        <v>202</v>
      </c>
    </row>
    <row r="112" spans="1:6" ht="25.5" x14ac:dyDescent="0.25">
      <c r="A112" s="10">
        <v>0</v>
      </c>
      <c r="B112" s="15" t="s">
        <v>109</v>
      </c>
      <c r="C112" s="30" t="s">
        <v>205</v>
      </c>
      <c r="E112" s="31" t="str">
        <f>VLOOKUP(C113,List_Type_Critères_Détails_Par_Nom,2,0)</f>
        <v>Le critère ne sera pas utilisé pour l'évaluation des offres</v>
      </c>
    </row>
    <row r="113" spans="1:6" x14ac:dyDescent="0.25">
      <c r="A113" s="10">
        <v>1</v>
      </c>
      <c r="B113" s="15" t="s">
        <v>18</v>
      </c>
      <c r="C113" s="32" t="s">
        <v>22</v>
      </c>
    </row>
    <row r="114" spans="1:6" x14ac:dyDescent="0.25">
      <c r="A114" s="10">
        <v>2</v>
      </c>
      <c r="B114" s="15" t="s">
        <v>198</v>
      </c>
      <c r="C114" s="21">
        <f>IF(C113=Const_PasCrit,0,IF(C113=Const_Manuel,C115,IF(C113=Const_PlanIncl,MAX(C115,C119),MAX(C115,C117,C119))))</f>
        <v>0</v>
      </c>
      <c r="D114" s="10" t="s">
        <v>26</v>
      </c>
      <c r="E114" s="33"/>
    </row>
    <row r="115" spans="1:6" x14ac:dyDescent="0.25">
      <c r="A115" s="10">
        <v>3</v>
      </c>
      <c r="B115" s="31" t="str">
        <f>VLOOKUP(C113,List_Type_Critères_Détails_Par_Nom,4,0)</f>
        <v>Non utilisé</v>
      </c>
      <c r="C115" s="34"/>
      <c r="D115" s="10" t="s">
        <v>26</v>
      </c>
      <c r="E115" s="33"/>
    </row>
    <row r="116" spans="1:6" ht="63.75" x14ac:dyDescent="0.25">
      <c r="A116" s="10">
        <v>4</v>
      </c>
      <c r="B116" s="15" t="s">
        <v>179</v>
      </c>
      <c r="C116" s="35" t="s">
        <v>33</v>
      </c>
      <c r="D116" s="36"/>
      <c r="E116" s="12" t="s">
        <v>199</v>
      </c>
    </row>
    <row r="117" spans="1:6" ht="27.75" customHeight="1" x14ac:dyDescent="0.25">
      <c r="A117" s="10">
        <v>5</v>
      </c>
      <c r="B117" s="31" t="str">
        <f>VLOOKUP(C113,List_Type_Critères_Détails_Par_Nom,5,0)</f>
        <v>Non utilisé</v>
      </c>
      <c r="C117" s="34"/>
      <c r="D117" s="10" t="s">
        <v>26</v>
      </c>
      <c r="F117" s="17" t="str">
        <f>IF(AND(C113=Const_Manuel,NOT(ISBLANK(C117))),"doit être vide","")</f>
        <v/>
      </c>
    </row>
    <row r="118" spans="1:6" ht="63.75" x14ac:dyDescent="0.25">
      <c r="A118" s="10">
        <v>6</v>
      </c>
      <c r="B118" s="15" t="s">
        <v>180</v>
      </c>
      <c r="C118" s="35" t="s">
        <v>34</v>
      </c>
      <c r="D118" s="36"/>
      <c r="E118" s="12" t="s">
        <v>200</v>
      </c>
    </row>
    <row r="119" spans="1:6" x14ac:dyDescent="0.25">
      <c r="A119" s="10">
        <v>7</v>
      </c>
      <c r="B119" s="31" t="str">
        <f>VLOOKUP(C113,List_Type_Critères_Détails_Par_Nom,6,0)</f>
        <v>Non utilisé</v>
      </c>
      <c r="C119" s="34"/>
      <c r="D119" s="10" t="s">
        <v>26</v>
      </c>
      <c r="F119" s="17" t="str">
        <f>IF(AND(C113=Const_Manuel,NOT(ISBLANK(C119))),"doit être vide","")</f>
        <v/>
      </c>
    </row>
    <row r="120" spans="1:6" x14ac:dyDescent="0.25">
      <c r="A120" s="10">
        <v>8</v>
      </c>
      <c r="B120" s="271" t="s">
        <v>197</v>
      </c>
      <c r="C120" s="13"/>
    </row>
    <row r="122" spans="1:6" x14ac:dyDescent="0.25">
      <c r="A122" s="13" t="s">
        <v>203</v>
      </c>
    </row>
    <row r="123" spans="1:6" ht="25.5" x14ac:dyDescent="0.25">
      <c r="A123" s="10">
        <v>0</v>
      </c>
      <c r="B123" s="15" t="s">
        <v>109</v>
      </c>
      <c r="C123" s="30" t="s">
        <v>206</v>
      </c>
      <c r="E123" s="31" t="str">
        <f>VLOOKUP(C124,List_Type_Critères_Détails_Par_Nom,2,0)</f>
        <v>Le critère ne sera pas utilisé pour l'évaluation des offres</v>
      </c>
    </row>
    <row r="124" spans="1:6" x14ac:dyDescent="0.25">
      <c r="A124" s="10">
        <v>1</v>
      </c>
      <c r="B124" s="15" t="s">
        <v>18</v>
      </c>
      <c r="C124" s="32" t="s">
        <v>22</v>
      </c>
    </row>
    <row r="125" spans="1:6" x14ac:dyDescent="0.25">
      <c r="A125" s="10">
        <v>2</v>
      </c>
      <c r="B125" s="15" t="s">
        <v>198</v>
      </c>
      <c r="C125" s="21">
        <f>IF(C124=Const_PasCrit,0,IF(C124=Const_Manuel,C126,IF(C124=Const_PlanIncl,MAX(C126,C130),MAX(C126,C128,C130))))</f>
        <v>0</v>
      </c>
      <c r="D125" s="10" t="s">
        <v>26</v>
      </c>
      <c r="E125" s="33"/>
    </row>
    <row r="126" spans="1:6" x14ac:dyDescent="0.25">
      <c r="A126" s="10">
        <v>3</v>
      </c>
      <c r="B126" s="31" t="str">
        <f>VLOOKUP(C124,List_Type_Critères_Détails_Par_Nom,4,0)</f>
        <v>Non utilisé</v>
      </c>
      <c r="C126" s="34"/>
      <c r="D126" s="10" t="s">
        <v>26</v>
      </c>
      <c r="E126" s="33"/>
    </row>
    <row r="127" spans="1:6" ht="63.75" x14ac:dyDescent="0.25">
      <c r="A127" s="10">
        <v>4</v>
      </c>
      <c r="B127" s="15" t="s">
        <v>179</v>
      </c>
      <c r="C127" s="35" t="s">
        <v>33</v>
      </c>
      <c r="D127" s="36"/>
      <c r="E127" s="12" t="s">
        <v>199</v>
      </c>
    </row>
    <row r="128" spans="1:6" ht="27.75" customHeight="1" x14ac:dyDescent="0.25">
      <c r="A128" s="10">
        <v>5</v>
      </c>
      <c r="B128" s="31" t="str">
        <f>VLOOKUP(C124,List_Type_Critères_Détails_Par_Nom,5,0)</f>
        <v>Non utilisé</v>
      </c>
      <c r="C128" s="34"/>
      <c r="D128" s="10" t="s">
        <v>26</v>
      </c>
      <c r="F128" s="17" t="str">
        <f>IF(AND(C124=Const_Manuel,NOT(ISBLANK(C128))),"doit être vide","")</f>
        <v/>
      </c>
    </row>
    <row r="129" spans="1:6" ht="63.75" x14ac:dyDescent="0.25">
      <c r="A129" s="10">
        <v>6</v>
      </c>
      <c r="B129" s="15" t="s">
        <v>180</v>
      </c>
      <c r="C129" s="35" t="s">
        <v>34</v>
      </c>
      <c r="D129" s="36"/>
      <c r="E129" s="12" t="s">
        <v>200</v>
      </c>
    </row>
    <row r="130" spans="1:6" x14ac:dyDescent="0.25">
      <c r="A130" s="10">
        <v>7</v>
      </c>
      <c r="B130" s="31" t="str">
        <f>VLOOKUP(C124,List_Type_Critères_Détails_Par_Nom,6,0)</f>
        <v>Non utilisé</v>
      </c>
      <c r="C130" s="34"/>
      <c r="D130" s="10" t="s">
        <v>26</v>
      </c>
      <c r="F130" s="17" t="str">
        <f>IF(AND(C124=Const_Manuel,NOT(ISBLANK(C130))),"doit être vide","")</f>
        <v/>
      </c>
    </row>
    <row r="131" spans="1:6" x14ac:dyDescent="0.25">
      <c r="A131" s="10">
        <v>8</v>
      </c>
      <c r="B131" s="271" t="s">
        <v>197</v>
      </c>
      <c r="C131" s="13"/>
    </row>
    <row r="133" spans="1:6" x14ac:dyDescent="0.25">
      <c r="A133" s="13" t="s">
        <v>204</v>
      </c>
    </row>
    <row r="134" spans="1:6" ht="25.5" x14ac:dyDescent="0.25">
      <c r="A134" s="10">
        <v>0</v>
      </c>
      <c r="B134" s="15" t="s">
        <v>109</v>
      </c>
      <c r="C134" s="30" t="s">
        <v>207</v>
      </c>
      <c r="E134" s="31" t="str">
        <f>VLOOKUP(C135,List_Type_Critères_Détails_Par_Nom,2,0)</f>
        <v>Le critère ne sera pas utilisé pour l'évaluation des offres</v>
      </c>
    </row>
    <row r="135" spans="1:6" x14ac:dyDescent="0.25">
      <c r="A135" s="10">
        <v>1</v>
      </c>
      <c r="B135" s="15" t="s">
        <v>18</v>
      </c>
      <c r="C135" s="32" t="s">
        <v>22</v>
      </c>
    </row>
    <row r="136" spans="1:6" x14ac:dyDescent="0.25">
      <c r="A136" s="10">
        <v>2</v>
      </c>
      <c r="B136" s="15" t="s">
        <v>198</v>
      </c>
      <c r="C136" s="21">
        <f>IF(C135=Const_PasCrit,0,IF(C135=Const_Manuel,C137,IF(C135=Const_PlanIncl,MAX(C137,C141),MAX(C137,C139,C141))))</f>
        <v>0</v>
      </c>
      <c r="D136" s="10" t="s">
        <v>26</v>
      </c>
      <c r="E136" s="33"/>
    </row>
    <row r="137" spans="1:6" x14ac:dyDescent="0.25">
      <c r="A137" s="10">
        <v>3</v>
      </c>
      <c r="B137" s="31" t="str">
        <f>VLOOKUP(C135,List_Type_Critères_Détails_Par_Nom,4,0)</f>
        <v>Non utilisé</v>
      </c>
      <c r="C137" s="34"/>
      <c r="D137" s="10" t="s">
        <v>26</v>
      </c>
      <c r="E137" s="33"/>
    </row>
    <row r="138" spans="1:6" ht="63.75" x14ac:dyDescent="0.25">
      <c r="A138" s="10">
        <v>4</v>
      </c>
      <c r="B138" s="15" t="s">
        <v>179</v>
      </c>
      <c r="C138" s="35" t="s">
        <v>33</v>
      </c>
      <c r="D138" s="36"/>
      <c r="E138" s="12" t="s">
        <v>199</v>
      </c>
    </row>
    <row r="139" spans="1:6" ht="27.75" customHeight="1" x14ac:dyDescent="0.25">
      <c r="A139" s="10">
        <v>5</v>
      </c>
      <c r="B139" s="31" t="str">
        <f>VLOOKUP(C135,List_Type_Critères_Détails_Par_Nom,5,0)</f>
        <v>Non utilisé</v>
      </c>
      <c r="C139" s="34"/>
      <c r="D139" s="10" t="s">
        <v>26</v>
      </c>
      <c r="F139" s="17" t="str">
        <f>IF(AND(C135=Const_Manuel,NOT(ISBLANK(C139))),"doit être vide","")</f>
        <v/>
      </c>
    </row>
    <row r="140" spans="1:6" ht="63.75" x14ac:dyDescent="0.25">
      <c r="A140" s="10">
        <v>6</v>
      </c>
      <c r="B140" s="15" t="s">
        <v>180</v>
      </c>
      <c r="C140" s="35" t="s">
        <v>34</v>
      </c>
      <c r="D140" s="36"/>
      <c r="E140" s="12" t="s">
        <v>200</v>
      </c>
    </row>
    <row r="141" spans="1:6" x14ac:dyDescent="0.25">
      <c r="A141" s="10">
        <v>7</v>
      </c>
      <c r="B141" s="31" t="str">
        <f>VLOOKUP(C135,List_Type_Critères_Détails_Par_Nom,6,0)</f>
        <v>Non utilisé</v>
      </c>
      <c r="C141" s="34"/>
      <c r="D141" s="10" t="s">
        <v>26</v>
      </c>
      <c r="F141" s="17" t="str">
        <f>IF(AND(C135=Const_Manuel,NOT(ISBLANK(C141))),"doit être vide","")</f>
        <v/>
      </c>
    </row>
    <row r="142" spans="1:6" x14ac:dyDescent="0.25">
      <c r="A142" s="10">
        <v>8</v>
      </c>
      <c r="B142" s="271" t="s">
        <v>197</v>
      </c>
      <c r="C142" s="13"/>
    </row>
    <row r="144" spans="1:6" x14ac:dyDescent="0.25">
      <c r="A144" s="37"/>
      <c r="B144" s="38"/>
      <c r="C144" s="37"/>
      <c r="D144" s="37"/>
      <c r="E144" s="38"/>
      <c r="F144" s="38"/>
    </row>
  </sheetData>
  <sheetProtection algorithmName="SHA-512" hashValue="Bk9dvXpBv13UXGnm18g6q0+vOKD70sAB2XTO8hYyOzuI0gWI3F2kbhIPZRYjqVYaP+O3M9VqR/9itOhCqRpaUw==" saltValue="KvjTy7zjXKqEcRKbAyTztg==" spinCount="100000" sheet="1" formatCells="0" formatRows="0" selectLockedCells="1" autoFilter="0"/>
  <autoFilter ref="A1:F109" xr:uid="{6E8CAA97-435E-4068-9F47-C3CD88B8ED3B}"/>
  <dataValidations count="8">
    <dataValidation type="list" showInputMessage="1" showErrorMessage="1" error="Choisissez parmi les valeurs possibles proposées" sqref="C9 C19 C27 C37 C45 C72 C56 C64 C80 C91 C102 C113 C124 C135" xr:uid="{F9061671-68D4-4B8C-A9CD-03162A727770}">
      <formula1>List_Type_Critères</formula1>
    </dataValidation>
    <dataValidation type="custom" allowBlank="1" showInputMessage="1" showErrorMessage="1" errorTitle="Mauvaise définition du point" error="Soit un entier positif_x000a_Soit 'Non Applicable'" sqref="C23 C13 C31 C41 C49 C60 C68 C76 C84" xr:uid="{B50736A0-BFEC-4313-B74B-A5C81E58B38C}">
      <formula1>OR(C13=Const_NA,AND(ISNUMBER(C13),(C13&gt;=0)))</formula1>
    </dataValidation>
    <dataValidation type="custom" allowBlank="1" showInputMessage="1" showErrorMessage="1" errorTitle="Mauvaise définition du point" error="Soit un entier positif_x000a_Soit 'ValeurMinimale'_x000a_Soit 'ValeurMaximale'" sqref="C40 C48 C59 C67 C75 C83" xr:uid="{427E26D3-6D87-4EA2-841D-DAF128BD692E}">
      <formula1>OR(C40=Const_Min,C40=Const_Max,AND(ISNUMBER(C40),(C40&gt;=0)))</formula1>
    </dataValidation>
    <dataValidation type="whole" operator="greaterThanOrEqual" allowBlank="1" showInputMessage="1" showErrorMessage="1" error="La superfice doit être un nombre entier de centiares (sans espace)" prompt="La superficie doit être un nombre de centiares" sqref="C3:C5" xr:uid="{CD3DA593-0985-4658-AAD7-6D9697004311}">
      <formula1>0</formula1>
    </dataValidation>
    <dataValidation type="custom" allowBlank="1" showInputMessage="1" showErrorMessage="1" errorTitle="Mauvaise définition du point" error="Doit être un entier positif compris entre 0 et 20" sqref="C92:C93 C95 C97 C108 C106 C103:C104 C119 C117 C114:C115 C130 C128 C125:C126 C141 C139 C136:C137" xr:uid="{F2849F63-D918-4BBC-8964-508DB58DF077}">
      <formula1>AND(ISNUMBER(C92),(C92&gt;=0),(C92&lt;=20),(MOD(C92,1)=0))</formula1>
    </dataValidation>
    <dataValidation type="custom" allowBlank="1" showInputMessage="1" showErrorMessage="1" errorTitle="Mauvaise définition du point" error="Soit un nombre positif_x000a_Soit 'ValeurMinimale'" sqref="C105 C94 C116 C127 C138" xr:uid="{CF9C7072-0092-4E1F-B25A-9ED41884F882}">
      <formula1>OR(C94=Const_Min,AND(ISNUMBER(C94),(C94&gt;=0)))</formula1>
    </dataValidation>
    <dataValidation type="custom" allowBlank="1" showInputMessage="1" showErrorMessage="1" errorTitle="Mauvaise définition du point" error="Soit un entier positif_x000a_Soit 'ValeurMaximale'" sqref="C107 C118 C129 C140" xr:uid="{7DA16C76-483C-4DFD-BCF3-3F0CD4FD5D7B}">
      <formula1>OR(C107=Const_Max,AND(ISNUMBER(C107),(C107&gt;=0)))</formula1>
    </dataValidation>
    <dataValidation type="custom" allowBlank="1" showInputMessage="1" showErrorMessage="1" errorTitle="Mauvaise définition du point" error="Soit un nombre positif_x000a_Soit 'ValeurMaximale'" sqref="C96" xr:uid="{8239A327-26C7-408C-AC4D-ECB75222F62F}">
      <formula1>OR(C96=Const_Max,AND(ISNUMBER(C96),(C96&gt;=0)))</formula1>
    </dataValidation>
  </dataValidations>
  <printOptions gridLines="1"/>
  <pageMargins left="0.70866141732283472" right="0.70866141732283472" top="0.74803149606299213" bottom="0.74803149606299213" header="0.31496062992125984" footer="0.31496062992125984"/>
  <pageSetup paperSize="9" scale="73" orientation="landscape" r:id="rId1"/>
  <headerFooter>
    <oddFooter>&amp;LFichier: &amp;F - Feuille: &amp;A&amp;CImprimé le &amp;D&amp;RPage &amp;P de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235BD-BDBD-473E-A269-FD8F5322BEA1}">
  <sheetPr codeName="Feuil1">
    <outlinePr summaryBelow="0" summaryRight="0" showOutlineSymbols="0"/>
  </sheetPr>
  <dimension ref="A1:BZ36"/>
  <sheetViews>
    <sheetView showOutlineSymbols="0" zoomScaleNormal="100" workbookViewId="0">
      <pane xSplit="2" ySplit="18" topLeftCell="C19" activePane="bottomRight" state="frozen"/>
      <selection activeCell="E10" sqref="E10"/>
      <selection pane="topRight" activeCell="E10" sqref="E10"/>
      <selection pane="bottomLeft" activeCell="E10" sqref="E10"/>
      <selection pane="bottomRight" activeCell="B2" sqref="B2"/>
    </sheetView>
  </sheetViews>
  <sheetFormatPr baseColWidth="10" defaultRowHeight="12.75" outlineLevelRow="1" outlineLevelCol="1" x14ac:dyDescent="0.2"/>
  <cols>
    <col min="1" max="1" width="40.5703125" style="40" bestFit="1" customWidth="1"/>
    <col min="2" max="2" width="37.5703125" style="40" customWidth="1"/>
    <col min="3" max="14" width="15.28515625" style="40" customWidth="1"/>
    <col min="15" max="15" width="15.28515625" style="40" customWidth="1" collapsed="1"/>
    <col min="16" max="16" width="8.42578125" style="40" hidden="1" customWidth="1" outlineLevel="1"/>
    <col min="17" max="17" width="2.28515625" style="40" customWidth="1" collapsed="1"/>
    <col min="18" max="18" width="12.42578125" style="40" hidden="1" customWidth="1" outlineLevel="1"/>
    <col min="19" max="19" width="38.140625" style="40" hidden="1" customWidth="1" outlineLevel="1"/>
    <col min="20" max="20" width="15.7109375" style="40" customWidth="1" collapsed="1"/>
    <col min="21" max="22" width="20.85546875" style="40" hidden="1" customWidth="1" outlineLevel="1"/>
    <col min="23" max="23" width="15.7109375" style="40" customWidth="1" collapsed="1"/>
    <col min="24" max="25" width="20.85546875" style="40" hidden="1" customWidth="1" outlineLevel="1"/>
    <col min="26" max="26" width="15.7109375" style="40" customWidth="1" collapsed="1"/>
    <col min="27" max="28" width="20.85546875" style="40" hidden="1" customWidth="1" outlineLevel="1"/>
    <col min="29" max="29" width="15.7109375" style="40" customWidth="1" collapsed="1"/>
    <col min="30" max="31" width="20.85546875" style="40" hidden="1" customWidth="1" outlineLevel="1"/>
    <col min="32" max="32" width="15.7109375" style="40" customWidth="1" collapsed="1"/>
    <col min="33" max="34" width="20.85546875" style="40" hidden="1" customWidth="1" outlineLevel="1"/>
    <col min="35" max="35" width="15.7109375" style="40" customWidth="1" collapsed="1"/>
    <col min="36" max="37" width="20.85546875" style="40" hidden="1" customWidth="1" outlineLevel="1"/>
    <col min="38" max="38" width="15.7109375" style="40" customWidth="1" collapsed="1"/>
    <col min="39" max="40" width="20.85546875" style="40" hidden="1" customWidth="1" outlineLevel="1"/>
    <col min="41" max="41" width="15.7109375" style="40" customWidth="1" collapsed="1"/>
    <col min="42" max="43" width="20.85546875" style="40" hidden="1" customWidth="1" outlineLevel="1"/>
    <col min="44" max="44" width="15.7109375" style="40" customWidth="1" collapsed="1"/>
    <col min="45" max="46" width="20.85546875" style="40" hidden="1" customWidth="1" outlineLevel="1"/>
    <col min="47" max="47" width="15.7109375" style="40" customWidth="1" collapsed="1"/>
    <col min="48" max="52" width="20.85546875" style="40" hidden="1" customWidth="1" outlineLevel="1"/>
    <col min="53" max="53" width="15.7109375" style="40" customWidth="1" collapsed="1"/>
    <col min="54" max="58" width="20.85546875" style="40" hidden="1" customWidth="1" outlineLevel="1"/>
    <col min="59" max="59" width="15.7109375" style="40" customWidth="1" collapsed="1"/>
    <col min="60" max="64" width="20.85546875" style="40" hidden="1" customWidth="1" outlineLevel="1"/>
    <col min="65" max="65" width="15.7109375" style="40" customWidth="1" collapsed="1"/>
    <col min="66" max="70" width="20.85546875" style="40" hidden="1" customWidth="1" outlineLevel="1"/>
    <col min="71" max="71" width="15.7109375" style="40" customWidth="1" collapsed="1"/>
    <col min="72" max="76" width="20.85546875" style="40" hidden="1" customWidth="1" outlineLevel="1"/>
    <col min="77" max="77" width="12.140625" style="44" bestFit="1" customWidth="1"/>
    <col min="78" max="78" width="9.85546875" style="45" customWidth="1"/>
    <col min="79" max="16384" width="11.42578125" style="40"/>
  </cols>
  <sheetData>
    <row r="1" spans="1:78" ht="15.75" x14ac:dyDescent="0.2">
      <c r="A1" s="39" t="s">
        <v>49</v>
      </c>
      <c r="F1" s="41"/>
      <c r="R1" s="358" t="s">
        <v>105</v>
      </c>
      <c r="S1" s="358"/>
      <c r="BA1" s="42"/>
      <c r="BG1" s="42"/>
      <c r="BM1" s="42"/>
      <c r="BS1" s="42"/>
    </row>
    <row r="2" spans="1:78" x14ac:dyDescent="0.2">
      <c r="A2" s="46" t="s">
        <v>45</v>
      </c>
      <c r="B2" s="47"/>
      <c r="P2" s="48"/>
      <c r="R2" s="358" t="s">
        <v>106</v>
      </c>
      <c r="S2" s="358"/>
    </row>
    <row r="3" spans="1:78" x14ac:dyDescent="0.2">
      <c r="A3" s="46" t="s">
        <v>46</v>
      </c>
      <c r="B3" s="47"/>
      <c r="P3" s="49"/>
      <c r="R3" s="50"/>
      <c r="S3" s="50"/>
    </row>
    <row r="4" spans="1:78" x14ac:dyDescent="0.2">
      <c r="A4" s="46" t="s">
        <v>1</v>
      </c>
      <c r="B4" s="47"/>
      <c r="P4" s="49"/>
      <c r="R4" s="50"/>
      <c r="S4" s="50"/>
    </row>
    <row r="5" spans="1:78" x14ac:dyDescent="0.2">
      <c r="A5" s="46" t="s">
        <v>214</v>
      </c>
      <c r="B5" s="47"/>
      <c r="P5" s="51"/>
      <c r="R5" s="50"/>
      <c r="S5" s="50"/>
    </row>
    <row r="6" spans="1:78" x14ac:dyDescent="0.2">
      <c r="A6" s="46" t="s">
        <v>225</v>
      </c>
      <c r="B6" s="47"/>
      <c r="P6" s="49"/>
      <c r="R6" s="50"/>
      <c r="S6" s="50"/>
    </row>
    <row r="7" spans="1:78" x14ac:dyDescent="0.2">
      <c r="A7" s="46" t="s">
        <v>2</v>
      </c>
      <c r="B7" s="184"/>
      <c r="P7" s="49"/>
      <c r="R7" s="50"/>
      <c r="S7" s="50"/>
    </row>
    <row r="8" spans="1:78" ht="13.5" thickBot="1" x14ac:dyDescent="0.25">
      <c r="A8" s="46" t="s">
        <v>188</v>
      </c>
      <c r="B8" s="185"/>
      <c r="P8" s="52"/>
      <c r="R8" s="50"/>
      <c r="S8" s="50"/>
    </row>
    <row r="9" spans="1:78" ht="13.5" thickBot="1" x14ac:dyDescent="0.25">
      <c r="A9" s="46" t="s">
        <v>161</v>
      </c>
      <c r="B9" s="160"/>
      <c r="P9" s="49"/>
      <c r="R9" s="50"/>
      <c r="S9" s="50"/>
      <c r="T9" s="355" t="s">
        <v>41</v>
      </c>
      <c r="U9" s="356"/>
      <c r="V9" s="357"/>
      <c r="W9" s="355" t="s">
        <v>63</v>
      </c>
      <c r="X9" s="356"/>
      <c r="Y9" s="357"/>
      <c r="Z9" s="355" t="s">
        <v>65</v>
      </c>
      <c r="AA9" s="356"/>
      <c r="AB9" s="357"/>
      <c r="AC9" s="355" t="s">
        <v>47</v>
      </c>
      <c r="AD9" s="356"/>
      <c r="AE9" s="357"/>
      <c r="AF9" s="355" t="s">
        <v>48</v>
      </c>
      <c r="AG9" s="356"/>
      <c r="AH9" s="357"/>
      <c r="AI9" s="355" t="s">
        <v>82</v>
      </c>
      <c r="AJ9" s="356"/>
      <c r="AK9" s="357"/>
      <c r="AL9" s="355" t="s">
        <v>83</v>
      </c>
      <c r="AM9" s="356"/>
      <c r="AN9" s="357"/>
      <c r="AO9" s="355" t="s">
        <v>90</v>
      </c>
      <c r="AP9" s="356"/>
      <c r="AQ9" s="357"/>
      <c r="AR9" s="355" t="s">
        <v>96</v>
      </c>
      <c r="AS9" s="356"/>
      <c r="AT9" s="357"/>
      <c r="AU9" s="348" t="s">
        <v>40</v>
      </c>
      <c r="AV9" s="349"/>
      <c r="AW9" s="349"/>
      <c r="AX9" s="349"/>
      <c r="AY9" s="349"/>
      <c r="AZ9" s="350"/>
      <c r="BA9" s="348" t="s">
        <v>97</v>
      </c>
      <c r="BB9" s="349"/>
      <c r="BC9" s="349"/>
      <c r="BD9" s="349"/>
      <c r="BE9" s="349"/>
      <c r="BF9" s="350"/>
      <c r="BG9" s="348" t="s">
        <v>98</v>
      </c>
      <c r="BH9" s="349"/>
      <c r="BI9" s="349"/>
      <c r="BJ9" s="349"/>
      <c r="BK9" s="349"/>
      <c r="BL9" s="350"/>
      <c r="BM9" s="348" t="s">
        <v>99</v>
      </c>
      <c r="BN9" s="349"/>
      <c r="BO9" s="349"/>
      <c r="BP9" s="349"/>
      <c r="BQ9" s="349"/>
      <c r="BR9" s="350"/>
      <c r="BS9" s="348" t="s">
        <v>100</v>
      </c>
      <c r="BT9" s="349"/>
      <c r="BU9" s="349"/>
      <c r="BV9" s="349"/>
      <c r="BW9" s="349"/>
      <c r="BX9" s="350"/>
    </row>
    <row r="10" spans="1:78" ht="26.25" collapsed="1" thickBot="1" x14ac:dyDescent="0.25">
      <c r="A10" s="39" t="s">
        <v>50</v>
      </c>
      <c r="C10" s="3" t="s">
        <v>41</v>
      </c>
      <c r="D10" s="4" t="s">
        <v>51</v>
      </c>
      <c r="E10" s="4" t="s">
        <v>114</v>
      </c>
      <c r="F10" s="4" t="s">
        <v>115</v>
      </c>
      <c r="G10" s="4" t="s">
        <v>47</v>
      </c>
      <c r="H10" s="4" t="s">
        <v>48</v>
      </c>
      <c r="I10" s="4" t="s">
        <v>112</v>
      </c>
      <c r="J10" s="4" t="s">
        <v>113</v>
      </c>
      <c r="K10" s="4" t="s">
        <v>40</v>
      </c>
      <c r="L10" s="4" t="s">
        <v>97</v>
      </c>
      <c r="M10" s="4" t="s">
        <v>98</v>
      </c>
      <c r="N10" s="4" t="s">
        <v>99</v>
      </c>
      <c r="O10" s="5" t="s">
        <v>100</v>
      </c>
      <c r="Q10" s="6"/>
      <c r="R10" s="53" t="s">
        <v>52</v>
      </c>
      <c r="S10" s="53" t="s">
        <v>13</v>
      </c>
      <c r="T10" s="54" t="s">
        <v>53</v>
      </c>
      <c r="U10" s="55" t="s">
        <v>54</v>
      </c>
      <c r="V10" s="56" t="s">
        <v>55</v>
      </c>
      <c r="W10" s="54" t="s">
        <v>56</v>
      </c>
      <c r="X10" s="55" t="s">
        <v>62</v>
      </c>
      <c r="Y10" s="56" t="s">
        <v>55</v>
      </c>
      <c r="Z10" s="54" t="s">
        <v>60</v>
      </c>
      <c r="AA10" s="55" t="s">
        <v>61</v>
      </c>
      <c r="AB10" s="56" t="s">
        <v>55</v>
      </c>
      <c r="AC10" s="54" t="s">
        <v>66</v>
      </c>
      <c r="AD10" s="55" t="s">
        <v>67</v>
      </c>
      <c r="AE10" s="56" t="s">
        <v>55</v>
      </c>
      <c r="AF10" s="54" t="s">
        <v>68</v>
      </c>
      <c r="AG10" s="55" t="s">
        <v>69</v>
      </c>
      <c r="AH10" s="56" t="s">
        <v>55</v>
      </c>
      <c r="AI10" s="54" t="s">
        <v>84</v>
      </c>
      <c r="AJ10" s="55" t="s">
        <v>85</v>
      </c>
      <c r="AK10" s="56" t="s">
        <v>55</v>
      </c>
      <c r="AL10" s="54" t="s">
        <v>86</v>
      </c>
      <c r="AM10" s="55" t="s">
        <v>87</v>
      </c>
      <c r="AN10" s="56" t="s">
        <v>55</v>
      </c>
      <c r="AO10" s="54" t="s">
        <v>88</v>
      </c>
      <c r="AP10" s="55" t="s">
        <v>89</v>
      </c>
      <c r="AQ10" s="56" t="s">
        <v>55</v>
      </c>
      <c r="AR10" s="54" t="s">
        <v>101</v>
      </c>
      <c r="AS10" s="55" t="s">
        <v>102</v>
      </c>
      <c r="AT10" s="56" t="s">
        <v>55</v>
      </c>
      <c r="AU10" s="57" t="s">
        <v>8</v>
      </c>
      <c r="AV10" s="58" t="s">
        <v>107</v>
      </c>
      <c r="AW10" s="59" t="s">
        <v>55</v>
      </c>
      <c r="AX10" s="59" t="s">
        <v>55</v>
      </c>
      <c r="AY10" s="59" t="s">
        <v>55</v>
      </c>
      <c r="AZ10" s="60" t="s">
        <v>55</v>
      </c>
      <c r="BA10" s="194" t="s">
        <v>9</v>
      </c>
      <c r="BB10" s="195" t="s">
        <v>127</v>
      </c>
      <c r="BC10" s="196" t="s">
        <v>55</v>
      </c>
      <c r="BD10" s="196" t="s">
        <v>55</v>
      </c>
      <c r="BE10" s="196" t="s">
        <v>55</v>
      </c>
      <c r="BF10" s="197" t="s">
        <v>55</v>
      </c>
      <c r="BG10" s="194" t="s">
        <v>208</v>
      </c>
      <c r="BH10" s="195" t="s">
        <v>209</v>
      </c>
      <c r="BI10" s="196" t="s">
        <v>55</v>
      </c>
      <c r="BJ10" s="196" t="s">
        <v>55</v>
      </c>
      <c r="BK10" s="196" t="s">
        <v>55</v>
      </c>
      <c r="BL10" s="197" t="s">
        <v>55</v>
      </c>
      <c r="BM10" s="194" t="s">
        <v>210</v>
      </c>
      <c r="BN10" s="195" t="s">
        <v>211</v>
      </c>
      <c r="BO10" s="196" t="s">
        <v>55</v>
      </c>
      <c r="BP10" s="196" t="s">
        <v>55</v>
      </c>
      <c r="BQ10" s="196" t="s">
        <v>55</v>
      </c>
      <c r="BR10" s="197" t="s">
        <v>55</v>
      </c>
      <c r="BS10" s="194" t="s">
        <v>213</v>
      </c>
      <c r="BT10" s="195" t="s">
        <v>212</v>
      </c>
      <c r="BU10" s="196" t="s">
        <v>55</v>
      </c>
      <c r="BV10" s="196" t="s">
        <v>55</v>
      </c>
      <c r="BW10" s="196" t="s">
        <v>55</v>
      </c>
      <c r="BX10" s="197" t="s">
        <v>55</v>
      </c>
      <c r="BY10" s="353" t="s">
        <v>6</v>
      </c>
      <c r="BZ10" s="354"/>
    </row>
    <row r="11" spans="1:78" hidden="1" outlineLevel="1" x14ac:dyDescent="0.2">
      <c r="A11" s="50"/>
      <c r="B11" s="50"/>
      <c r="C11" s="61"/>
      <c r="D11" s="62"/>
      <c r="E11" s="62"/>
      <c r="F11" s="62"/>
      <c r="G11" s="62"/>
      <c r="H11" s="62"/>
      <c r="I11" s="62"/>
      <c r="J11" s="62"/>
      <c r="K11" s="175"/>
      <c r="L11" s="176"/>
      <c r="M11" s="176"/>
      <c r="N11" s="176"/>
      <c r="O11" s="179"/>
      <c r="P11" s="351" t="s">
        <v>105</v>
      </c>
      <c r="Q11" s="6"/>
      <c r="R11" s="40">
        <v>1</v>
      </c>
      <c r="S11" s="46" t="s">
        <v>18</v>
      </c>
      <c r="T11" s="63" t="str">
        <f>VLOOKUP($R11,Tbl_Crit01,3,0)</f>
        <v>02_Escalier_L1M_L2D</v>
      </c>
      <c r="U11" s="64"/>
      <c r="V11" s="65" t="str">
        <f>IF(V18&lt;&gt;T11,"Formule incorrecte ci-dessous","")</f>
        <v/>
      </c>
      <c r="W11" s="63" t="str">
        <f t="shared" ref="W11:W17" si="0">VLOOKUP($R11,Tbl_Crit02.01,3,0)</f>
        <v>03_PlanIncliné</v>
      </c>
      <c r="X11" s="64"/>
      <c r="Y11" s="65" t="str">
        <f>IF(Y18&lt;&gt;W11,"Formule incorrecte ci-dessous","")</f>
        <v/>
      </c>
      <c r="Z11" s="63" t="str">
        <f t="shared" ref="Z11:Z17" si="1">VLOOKUP($R11,Tbl_Crit02.02,3,0)</f>
        <v>02_Escalier_L1M_L2D</v>
      </c>
      <c r="AA11" s="64"/>
      <c r="AB11" s="65" t="str">
        <f>IF(AB18&lt;&gt;Z11,"Formule incorrecte ci-dessous","")</f>
        <v/>
      </c>
      <c r="AC11" s="63" t="str">
        <f t="shared" ref="AC11:AC17" si="2">VLOOKUP($R11,Tbl_Crit03.01,3,0)</f>
        <v>03_PlanIncliné</v>
      </c>
      <c r="AD11" s="64"/>
      <c r="AE11" s="65" t="str">
        <f>IF(AE18&lt;&gt;AC11,"Formule incorrecte ci-dessous","")</f>
        <v/>
      </c>
      <c r="AF11" s="63" t="str">
        <f>VLOOKUP($R11,Tbl_Crit03.02,3,0)</f>
        <v>03_PlanIncliné</v>
      </c>
      <c r="AG11" s="64"/>
      <c r="AH11" s="65" t="str">
        <f>IF(AH18&lt;&gt;AF11,"Formule incorrecte ci-dessous","")</f>
        <v/>
      </c>
      <c r="AI11" s="63" t="str">
        <f t="shared" ref="AI11:AI17" si="3">VLOOKUP($R11,Tbl_Crit04.01.01,3,0)</f>
        <v>03_PlanIncliné</v>
      </c>
      <c r="AJ11" s="64"/>
      <c r="AK11" s="65" t="str">
        <f>IF(AK18&lt;&gt;AI11,"Formule incorrecte ci-dessous","")</f>
        <v/>
      </c>
      <c r="AL11" s="63" t="str">
        <f t="shared" ref="AL11:AL17" si="4">VLOOKUP($R11,Tbl_Crit04.01.02,3,0)</f>
        <v>03_PlanIncliné</v>
      </c>
      <c r="AM11" s="64"/>
      <c r="AN11" s="65" t="str">
        <f>IF(AN18&lt;&gt;AL11,"Formule incorrecte ci-dessous","")</f>
        <v/>
      </c>
      <c r="AO11" s="63" t="str">
        <f t="shared" ref="AO11:AO17" si="5">VLOOKUP($R11,Tbl_Crit04.01.03,3,0)</f>
        <v>03_PlanIncliné</v>
      </c>
      <c r="AP11" s="64"/>
      <c r="AQ11" s="65" t="str">
        <f>IF(AQ18&lt;&gt;AO11,"Formule incorrecte ci-dessous","")</f>
        <v/>
      </c>
      <c r="AR11" s="63" t="str">
        <f t="shared" ref="AR11:AR17" si="6">VLOOKUP($R11,Tbl_Crit04.02,3,0)</f>
        <v>03_PlanIncliné</v>
      </c>
      <c r="AS11" s="64"/>
      <c r="AT11" s="65" t="str">
        <f>IF(AT18&lt;&gt;AR11,"Formule incorrecte ci-dessous","")</f>
        <v/>
      </c>
      <c r="AU11" s="66" t="str">
        <f t="shared" ref="AU11:AU17" si="7">VLOOKUP($R11,Tbl_Crit05,3,0)</f>
        <v>00_PasdeCritère</v>
      </c>
      <c r="AV11" s="67"/>
      <c r="AW11" s="68" t="str">
        <f>IF(AW18&lt;&gt;AU11,"Formule incorrecte ci-dessous","")</f>
        <v>Formule incorrecte ci-dessous</v>
      </c>
      <c r="AX11" s="68" t="str">
        <f>IF(AX18&lt;&gt;AU11,"Formule incorrecte ci-dessous","")</f>
        <v>Formule incorrecte ci-dessous</v>
      </c>
      <c r="AY11" s="68" t="str">
        <f>IF(AY18&lt;&gt;AU11,"Formule incorrecte ci-dessous","")</f>
        <v>Formule incorrecte ci-dessous</v>
      </c>
      <c r="AZ11" s="69" t="str">
        <f>IF(AZ18&lt;&gt;AU11,"Formule incorrecte ci-dessous","")</f>
        <v>Formule incorrecte ci-dessous</v>
      </c>
      <c r="BA11" s="198" t="str">
        <f t="shared" ref="BA11:BA17" si="8">VLOOKUP($R11,Tbl_Crit06,3,0)</f>
        <v>00_PasdeCritère</v>
      </c>
      <c r="BB11" s="199"/>
      <c r="BC11" s="200" t="str">
        <f>IF(BC18&lt;&gt;BA11,"Formule incorrecte ci-dessous","")</f>
        <v>Formule incorrecte ci-dessous</v>
      </c>
      <c r="BD11" s="200" t="str">
        <f>IF(BD18&lt;&gt;BA11,"Formule incorrecte ci-dessous","")</f>
        <v>Formule incorrecte ci-dessous</v>
      </c>
      <c r="BE11" s="200" t="str">
        <f>IF(BE18&lt;&gt;BA11,"Formule incorrecte ci-dessous","")</f>
        <v>Formule incorrecte ci-dessous</v>
      </c>
      <c r="BF11" s="201" t="str">
        <f>IF(BF18&lt;&gt;BA11,"Formule incorrecte ci-dessous","")</f>
        <v>Formule incorrecte ci-dessous</v>
      </c>
      <c r="BG11" s="198" t="str">
        <f t="shared" ref="BG11:BG17" si="9">VLOOKUP($R11,Tbl_Crit07,3,0)</f>
        <v>00_PasdeCritère</v>
      </c>
      <c r="BH11" s="199"/>
      <c r="BI11" s="200" t="str">
        <f>IF(BI18&lt;&gt;BG11,"Formule incorrecte ci-dessous","")</f>
        <v>Formule incorrecte ci-dessous</v>
      </c>
      <c r="BJ11" s="200" t="str">
        <f>IF(BJ18&lt;&gt;BG11,"Formule incorrecte ci-dessous","")</f>
        <v>Formule incorrecte ci-dessous</v>
      </c>
      <c r="BK11" s="200" t="str">
        <f>IF(BK18&lt;&gt;BG11,"Formule incorrecte ci-dessous","")</f>
        <v>Formule incorrecte ci-dessous</v>
      </c>
      <c r="BL11" s="201" t="str">
        <f>IF(BL18&lt;&gt;BG11,"Formule incorrecte ci-dessous","")</f>
        <v>Formule incorrecte ci-dessous</v>
      </c>
      <c r="BM11" s="198" t="str">
        <f t="shared" ref="BM11:BM17" si="10">VLOOKUP($R11,Tbl_Crit08,3,0)</f>
        <v>00_PasdeCritère</v>
      </c>
      <c r="BN11" s="199"/>
      <c r="BO11" s="200" t="str">
        <f>IF(BO18&lt;&gt;BM11,"Formule incorrecte ci-dessous","")</f>
        <v>Formule incorrecte ci-dessous</v>
      </c>
      <c r="BP11" s="200" t="str">
        <f>IF(BP18&lt;&gt;BM11,"Formule incorrecte ci-dessous","")</f>
        <v>Formule incorrecte ci-dessous</v>
      </c>
      <c r="BQ11" s="200" t="str">
        <f>IF(BQ18&lt;&gt;BM11,"Formule incorrecte ci-dessous","")</f>
        <v>Formule incorrecte ci-dessous</v>
      </c>
      <c r="BR11" s="201" t="str">
        <f>IF(BR18&lt;&gt;BM11,"Formule incorrecte ci-dessous","")</f>
        <v>Formule incorrecte ci-dessous</v>
      </c>
      <c r="BS11" s="198" t="str">
        <f t="shared" ref="BS11:BS17" si="11">VLOOKUP($R11,Tbl_Crit09,3,0)</f>
        <v>00_PasdeCritère</v>
      </c>
      <c r="BT11" s="199"/>
      <c r="BU11" s="200" t="str">
        <f>IF(BU18&lt;&gt;BS11,"Formule incorrecte ci-dessous","")</f>
        <v>Formule incorrecte ci-dessous</v>
      </c>
      <c r="BV11" s="200" t="str">
        <f>IF(BV18&lt;&gt;BS11,"Formule incorrecte ci-dessous","")</f>
        <v>Formule incorrecte ci-dessous</v>
      </c>
      <c r="BW11" s="200" t="str">
        <f>IF(BW18&lt;&gt;BS11,"Formule incorrecte ci-dessous","")</f>
        <v>Formule incorrecte ci-dessous</v>
      </c>
      <c r="BX11" s="201" t="str">
        <f>IF(BX18&lt;&gt;BS11,"Formule incorrecte ci-dessous","")</f>
        <v>Formule incorrecte ci-dessous</v>
      </c>
      <c r="BY11" s="70" t="s">
        <v>189</v>
      </c>
      <c r="BZ11" s="71"/>
    </row>
    <row r="12" spans="1:78" hidden="1" outlineLevel="1" x14ac:dyDescent="0.2">
      <c r="A12" s="50"/>
      <c r="B12" s="50"/>
      <c r="C12" s="61"/>
      <c r="D12" s="62"/>
      <c r="E12" s="62"/>
      <c r="F12" s="62"/>
      <c r="G12" s="62"/>
      <c r="H12" s="62"/>
      <c r="I12" s="62"/>
      <c r="J12" s="62"/>
      <c r="K12" s="175"/>
      <c r="L12" s="176"/>
      <c r="M12" s="176"/>
      <c r="N12" s="176"/>
      <c r="O12" s="179"/>
      <c r="P12" s="351"/>
      <c r="R12" s="40">
        <v>2</v>
      </c>
      <c r="S12" s="46" t="s">
        <v>39</v>
      </c>
      <c r="T12" s="72">
        <f t="shared" ref="T12:T17" si="12">VLOOKUP($R12,Tbl_Crit01,3,0)</f>
        <v>40</v>
      </c>
      <c r="U12" s="73"/>
      <c r="V12" s="74"/>
      <c r="W12" s="72">
        <f t="shared" si="0"/>
        <v>16</v>
      </c>
      <c r="X12" s="73"/>
      <c r="Y12" s="74"/>
      <c r="Z12" s="72">
        <f t="shared" si="1"/>
        <v>4</v>
      </c>
      <c r="AA12" s="73"/>
      <c r="AB12" s="74"/>
      <c r="AC12" s="72">
        <f t="shared" si="2"/>
        <v>10</v>
      </c>
      <c r="AD12" s="73"/>
      <c r="AE12" s="74"/>
      <c r="AF12" s="72">
        <f>VLOOKUP($R12,Tbl_Crit03.02,3,0)</f>
        <v>10</v>
      </c>
      <c r="AG12" s="73"/>
      <c r="AH12" s="74"/>
      <c r="AI12" s="72">
        <f t="shared" si="3"/>
        <v>4</v>
      </c>
      <c r="AJ12" s="73"/>
      <c r="AK12" s="74"/>
      <c r="AL12" s="72">
        <f t="shared" si="4"/>
        <v>4</v>
      </c>
      <c r="AM12" s="73"/>
      <c r="AN12" s="74"/>
      <c r="AO12" s="72">
        <f t="shared" si="5"/>
        <v>4</v>
      </c>
      <c r="AP12" s="73"/>
      <c r="AQ12" s="74"/>
      <c r="AR12" s="72">
        <f t="shared" si="6"/>
        <v>8</v>
      </c>
      <c r="AS12" s="73"/>
      <c r="AT12" s="74"/>
      <c r="AU12" s="75">
        <f t="shared" si="7"/>
        <v>0</v>
      </c>
      <c r="AV12" s="76"/>
      <c r="AW12" s="76"/>
      <c r="AX12" s="76"/>
      <c r="AY12" s="76"/>
      <c r="AZ12" s="77"/>
      <c r="BA12" s="202">
        <f t="shared" si="8"/>
        <v>0</v>
      </c>
      <c r="BB12" s="203"/>
      <c r="BC12" s="203"/>
      <c r="BD12" s="203"/>
      <c r="BE12" s="203"/>
      <c r="BF12" s="204"/>
      <c r="BG12" s="202">
        <f t="shared" si="9"/>
        <v>0</v>
      </c>
      <c r="BH12" s="203"/>
      <c r="BI12" s="203"/>
      <c r="BJ12" s="203"/>
      <c r="BK12" s="203"/>
      <c r="BL12" s="204"/>
      <c r="BM12" s="202">
        <f t="shared" si="10"/>
        <v>0</v>
      </c>
      <c r="BN12" s="203"/>
      <c r="BO12" s="203"/>
      <c r="BP12" s="203"/>
      <c r="BQ12" s="203"/>
      <c r="BR12" s="204"/>
      <c r="BS12" s="202">
        <f t="shared" si="11"/>
        <v>0</v>
      </c>
      <c r="BT12" s="203"/>
      <c r="BU12" s="203"/>
      <c r="BV12" s="203"/>
      <c r="BW12" s="203"/>
      <c r="BX12" s="204"/>
      <c r="BY12" s="186">
        <f>SUMIF(T11:BX11,"&lt;&gt;00_PasdeCritère",T12:BX12)</f>
        <v>100</v>
      </c>
      <c r="BZ12" s="71"/>
    </row>
    <row r="13" spans="1:78" hidden="1" outlineLevel="1" x14ac:dyDescent="0.2">
      <c r="A13" s="50"/>
      <c r="B13" s="50"/>
      <c r="C13" s="61"/>
      <c r="D13" s="62"/>
      <c r="E13" s="62"/>
      <c r="F13" s="62"/>
      <c r="G13" s="62"/>
      <c r="H13" s="62"/>
      <c r="I13" s="62"/>
      <c r="J13" s="62"/>
      <c r="K13" s="175"/>
      <c r="L13" s="176"/>
      <c r="M13" s="176"/>
      <c r="N13" s="272"/>
      <c r="O13" s="179"/>
      <c r="P13" s="351"/>
      <c r="R13" s="40">
        <v>3</v>
      </c>
      <c r="S13" s="46" t="s">
        <v>23</v>
      </c>
      <c r="T13" s="78">
        <f t="shared" si="12"/>
        <v>40</v>
      </c>
      <c r="U13" s="79" t="s">
        <v>74</v>
      </c>
      <c r="V13" s="80"/>
      <c r="W13" s="78">
        <f t="shared" si="0"/>
        <v>16</v>
      </c>
      <c r="X13" s="79" t="s">
        <v>74</v>
      </c>
      <c r="Y13" s="80"/>
      <c r="Z13" s="78">
        <f t="shared" si="1"/>
        <v>4</v>
      </c>
      <c r="AA13" s="79" t="s">
        <v>74</v>
      </c>
      <c r="AB13" s="80"/>
      <c r="AC13" s="78">
        <f t="shared" si="2"/>
        <v>10</v>
      </c>
      <c r="AD13" s="79" t="s">
        <v>74</v>
      </c>
      <c r="AE13" s="80"/>
      <c r="AF13" s="78">
        <f>VLOOKUP($R13,Tbl_Crit03.02,3,0)</f>
        <v>10</v>
      </c>
      <c r="AG13" s="79" t="s">
        <v>74</v>
      </c>
      <c r="AH13" s="80"/>
      <c r="AI13" s="78">
        <f t="shared" si="3"/>
        <v>4</v>
      </c>
      <c r="AJ13" s="79" t="s">
        <v>74</v>
      </c>
      <c r="AK13" s="80"/>
      <c r="AL13" s="78">
        <f t="shared" si="4"/>
        <v>4</v>
      </c>
      <c r="AM13" s="79" t="s">
        <v>74</v>
      </c>
      <c r="AN13" s="80"/>
      <c r="AO13" s="78">
        <f t="shared" si="5"/>
        <v>4</v>
      </c>
      <c r="AP13" s="79" t="s">
        <v>74</v>
      </c>
      <c r="AQ13" s="80"/>
      <c r="AR13" s="78">
        <f t="shared" si="6"/>
        <v>8</v>
      </c>
      <c r="AS13" s="79" t="s">
        <v>74</v>
      </c>
      <c r="AT13" s="80"/>
      <c r="AU13" s="81">
        <f t="shared" si="7"/>
        <v>0</v>
      </c>
      <c r="AV13" s="82" t="s">
        <v>74</v>
      </c>
      <c r="AW13" s="82"/>
      <c r="AX13" s="82"/>
      <c r="AY13" s="83"/>
      <c r="AZ13" s="84" t="s">
        <v>124</v>
      </c>
      <c r="BA13" s="205">
        <f t="shared" si="8"/>
        <v>0</v>
      </c>
      <c r="BB13" s="206" t="s">
        <v>74</v>
      </c>
      <c r="BC13" s="206"/>
      <c r="BD13" s="206"/>
      <c r="BE13" s="207"/>
      <c r="BF13" s="208" t="s">
        <v>124</v>
      </c>
      <c r="BG13" s="205">
        <f t="shared" si="9"/>
        <v>0</v>
      </c>
      <c r="BH13" s="206" t="s">
        <v>74</v>
      </c>
      <c r="BI13" s="206"/>
      <c r="BJ13" s="206"/>
      <c r="BK13" s="207"/>
      <c r="BL13" s="208" t="s">
        <v>124</v>
      </c>
      <c r="BM13" s="205">
        <f t="shared" si="10"/>
        <v>0</v>
      </c>
      <c r="BN13" s="206" t="s">
        <v>74</v>
      </c>
      <c r="BO13" s="206"/>
      <c r="BP13" s="206"/>
      <c r="BQ13" s="207"/>
      <c r="BR13" s="208" t="s">
        <v>124</v>
      </c>
      <c r="BS13" s="205">
        <f t="shared" si="11"/>
        <v>0</v>
      </c>
      <c r="BT13" s="206" t="s">
        <v>74</v>
      </c>
      <c r="BU13" s="206"/>
      <c r="BV13" s="206"/>
      <c r="BW13" s="207"/>
      <c r="BX13" s="208" t="s">
        <v>124</v>
      </c>
      <c r="BY13" s="85"/>
      <c r="BZ13" s="71"/>
    </row>
    <row r="14" spans="1:78" hidden="1" outlineLevel="1" x14ac:dyDescent="0.2">
      <c r="A14" s="50"/>
      <c r="B14" s="50"/>
      <c r="C14" s="61"/>
      <c r="D14" s="62"/>
      <c r="E14" s="62"/>
      <c r="F14" s="62"/>
      <c r="G14" s="62"/>
      <c r="H14" s="62"/>
      <c r="I14" s="62"/>
      <c r="J14" s="62"/>
      <c r="K14" s="175"/>
      <c r="L14" s="176"/>
      <c r="M14" s="176"/>
      <c r="N14" s="176"/>
      <c r="O14" s="179"/>
      <c r="P14" s="351"/>
      <c r="R14" s="40">
        <v>4</v>
      </c>
      <c r="S14" s="46" t="s">
        <v>16</v>
      </c>
      <c r="T14" s="86">
        <f t="shared" si="12"/>
        <v>35</v>
      </c>
      <c r="U14" s="87" t="s">
        <v>94</v>
      </c>
      <c r="V14" s="88">
        <f>IF(T14=Const_Min,U14,T14)</f>
        <v>35</v>
      </c>
      <c r="W14" s="86">
        <f t="shared" si="0"/>
        <v>0</v>
      </c>
      <c r="X14" s="87" t="s">
        <v>94</v>
      </c>
      <c r="Y14" s="88">
        <f>IF(W14=Const_Min,X14,W14)</f>
        <v>0</v>
      </c>
      <c r="Z14" s="86">
        <f t="shared" si="1"/>
        <v>0</v>
      </c>
      <c r="AA14" s="87" t="s">
        <v>94</v>
      </c>
      <c r="AB14" s="88">
        <f>IF(Z14=Const_Min,AA14,Z14)</f>
        <v>0</v>
      </c>
      <c r="AC14" s="89" t="str">
        <f t="shared" si="2"/>
        <v>ValeurMinimale</v>
      </c>
      <c r="AD14" s="90">
        <f>DistParc_min</f>
        <v>0</v>
      </c>
      <c r="AE14" s="88">
        <f>IF(AC14=Const_Min,AD14,AC14)</f>
        <v>0</v>
      </c>
      <c r="AF14" s="89" t="str">
        <f>VLOOKUP($R14,Tbl_Crit03.01,3,0)</f>
        <v>ValeurMinimale</v>
      </c>
      <c r="AG14" s="90">
        <f>DistExpl_min</f>
        <v>0</v>
      </c>
      <c r="AH14" s="88">
        <f>IF(AF14=Const_Min,AG14,AF14)</f>
        <v>0</v>
      </c>
      <c r="AI14" s="89" t="str">
        <f t="shared" si="3"/>
        <v>ValeurMinimale</v>
      </c>
      <c r="AJ14" s="90">
        <f>SAU_min</f>
        <v>0</v>
      </c>
      <c r="AK14" s="88">
        <f>IF(AI14=Const_Min,AJ14,AI14)</f>
        <v>0</v>
      </c>
      <c r="AL14" s="89" t="str">
        <f t="shared" si="4"/>
        <v>ValeurMinimale</v>
      </c>
      <c r="AM14" s="90">
        <f>SPublicAvt_min</f>
        <v>0</v>
      </c>
      <c r="AN14" s="88">
        <f>IF(AL14=Const_Min,AM14,AL14)</f>
        <v>0</v>
      </c>
      <c r="AO14" s="89" t="str">
        <f t="shared" si="5"/>
        <v>ValeurMinimale</v>
      </c>
      <c r="AP14" s="91">
        <f>PctSPublicAvt_min</f>
        <v>0</v>
      </c>
      <c r="AQ14" s="92">
        <f>IF(AO14=Const_Min,AP14,AO14)</f>
        <v>0</v>
      </c>
      <c r="AR14" s="89" t="str">
        <f t="shared" si="6"/>
        <v>ValeurMinimale</v>
      </c>
      <c r="AS14" s="91" cm="1">
        <f t="array" ref="AS14">PctSPublicApr_min</f>
        <v>0</v>
      </c>
      <c r="AT14" s="92">
        <f>IF(AR14=Const_Min,AS14,AR14)</f>
        <v>0</v>
      </c>
      <c r="AU14" s="93" t="str">
        <f>VLOOKUP($R14,Tbl_Crit05,3,0)</f>
        <v>ValeurMinimale</v>
      </c>
      <c r="AV14" s="94" cm="1">
        <f t="array" ref="AV14">Crit05_min</f>
        <v>0</v>
      </c>
      <c r="AW14" s="95">
        <f>IF(AU14=Const_Min,AV14,AU14)</f>
        <v>0</v>
      </c>
      <c r="AX14" s="95">
        <f>IF(AU14=Const_Min,AV14,AU14)</f>
        <v>0</v>
      </c>
      <c r="AY14" s="96">
        <f>IF(AU14=Const_Min,AV14,AU14)</f>
        <v>0</v>
      </c>
      <c r="AZ14" s="97">
        <v>0</v>
      </c>
      <c r="BA14" s="209" t="str">
        <f t="shared" si="8"/>
        <v>ValeurMinimale</v>
      </c>
      <c r="BB14" s="210">
        <f>Crit06_min</f>
        <v>0</v>
      </c>
      <c r="BC14" s="211">
        <f>IF(BA14=Const_Min,BB14,BA14)</f>
        <v>0</v>
      </c>
      <c r="BD14" s="211">
        <f>IF(BA14=Const_Min,BB14,BA14)</f>
        <v>0</v>
      </c>
      <c r="BE14" s="212">
        <f>IF(BA14=Const_Min,BB14,BA14)</f>
        <v>0</v>
      </c>
      <c r="BF14" s="213">
        <v>0</v>
      </c>
      <c r="BG14" s="209" t="str">
        <f t="shared" si="9"/>
        <v>ValeurMinimale</v>
      </c>
      <c r="BH14" s="210">
        <f>Crit07_min</f>
        <v>0</v>
      </c>
      <c r="BI14" s="211">
        <f>IF(BG14=Const_Min,BH14,BG14)</f>
        <v>0</v>
      </c>
      <c r="BJ14" s="211">
        <f>IF(BG14=Const_Min,BH14,BG14)</f>
        <v>0</v>
      </c>
      <c r="BK14" s="212">
        <f>IF(BG14=Const_Min,BH14,BG14)</f>
        <v>0</v>
      </c>
      <c r="BL14" s="213">
        <v>0</v>
      </c>
      <c r="BM14" s="209" t="str">
        <f t="shared" si="10"/>
        <v>ValeurMinimale</v>
      </c>
      <c r="BN14" s="210">
        <f>Crit08_min</f>
        <v>0</v>
      </c>
      <c r="BO14" s="211">
        <f>IF(BM14=Const_Min,BN14,BM14)</f>
        <v>0</v>
      </c>
      <c r="BP14" s="211">
        <f>IF(BM14=Const_Min,BN14,BM14)</f>
        <v>0</v>
      </c>
      <c r="BQ14" s="212">
        <f>IF(BM14=Const_Min,BN14,BM14)</f>
        <v>0</v>
      </c>
      <c r="BR14" s="213">
        <v>0</v>
      </c>
      <c r="BS14" s="209" t="str">
        <f t="shared" si="11"/>
        <v>ValeurMinimale</v>
      </c>
      <c r="BT14" s="210">
        <f>Crit09_min</f>
        <v>0</v>
      </c>
      <c r="BU14" s="211">
        <f>IF(BS14=Const_Min,BT14,BS14)</f>
        <v>0</v>
      </c>
      <c r="BV14" s="211">
        <f>IF(BS14=Const_Min,BT14,BS14)</f>
        <v>0</v>
      </c>
      <c r="BW14" s="212">
        <f>IF(BS14=Const_Min,BT14,BS14)</f>
        <v>0</v>
      </c>
      <c r="BX14" s="213">
        <v>0</v>
      </c>
      <c r="BY14" s="70"/>
      <c r="BZ14" s="71"/>
    </row>
    <row r="15" spans="1:78" hidden="1" outlineLevel="1" x14ac:dyDescent="0.2">
      <c r="A15" s="50"/>
      <c r="B15" s="50"/>
      <c r="C15" s="61"/>
      <c r="D15" s="62"/>
      <c r="E15" s="62"/>
      <c r="F15" s="62"/>
      <c r="G15" s="62"/>
      <c r="H15" s="62"/>
      <c r="I15" s="62"/>
      <c r="J15" s="62"/>
      <c r="K15" s="175"/>
      <c r="L15" s="176"/>
      <c r="M15" s="176"/>
      <c r="N15" s="176"/>
      <c r="O15" s="179"/>
      <c r="P15" s="351"/>
      <c r="R15" s="40">
        <v>5</v>
      </c>
      <c r="S15" s="46" t="s">
        <v>24</v>
      </c>
      <c r="T15" s="78">
        <f t="shared" si="12"/>
        <v>32</v>
      </c>
      <c r="U15" s="98"/>
      <c r="V15" s="99"/>
      <c r="W15" s="78" t="str">
        <f t="shared" si="0"/>
        <v>Non Applicable</v>
      </c>
      <c r="X15" s="98"/>
      <c r="Y15" s="99"/>
      <c r="Z15" s="78">
        <f t="shared" si="1"/>
        <v>0</v>
      </c>
      <c r="AA15" s="98"/>
      <c r="AB15" s="99"/>
      <c r="AC15" s="78" t="str">
        <f t="shared" si="2"/>
        <v>Non Applicable</v>
      </c>
      <c r="AD15" s="98"/>
      <c r="AE15" s="99"/>
      <c r="AF15" s="78" t="str">
        <f>VLOOKUP($R15,Tbl_Crit03.01,3,0)</f>
        <v>Non Applicable</v>
      </c>
      <c r="AG15" s="98"/>
      <c r="AH15" s="99"/>
      <c r="AI15" s="78" t="str">
        <f t="shared" si="3"/>
        <v>Non Applicable</v>
      </c>
      <c r="AJ15" s="98"/>
      <c r="AK15" s="99"/>
      <c r="AL15" s="78" t="str">
        <f t="shared" si="4"/>
        <v>Non Applicable</v>
      </c>
      <c r="AM15" s="98"/>
      <c r="AN15" s="99"/>
      <c r="AO15" s="78" t="str">
        <f t="shared" si="5"/>
        <v>Non Applicable</v>
      </c>
      <c r="AP15" s="98"/>
      <c r="AQ15" s="99"/>
      <c r="AR15" s="78" t="str">
        <f t="shared" si="6"/>
        <v>Non Applicable</v>
      </c>
      <c r="AS15" s="98"/>
      <c r="AT15" s="99"/>
      <c r="AU15" s="81">
        <f t="shared" si="7"/>
        <v>0</v>
      </c>
      <c r="AV15" s="100"/>
      <c r="AW15" s="100"/>
      <c r="AX15" s="100"/>
      <c r="AY15" s="100"/>
      <c r="AZ15" s="101"/>
      <c r="BA15" s="205">
        <f t="shared" si="8"/>
        <v>0</v>
      </c>
      <c r="BB15" s="214"/>
      <c r="BC15" s="214"/>
      <c r="BD15" s="214"/>
      <c r="BE15" s="214"/>
      <c r="BF15" s="215"/>
      <c r="BG15" s="205">
        <f t="shared" si="9"/>
        <v>0</v>
      </c>
      <c r="BH15" s="214"/>
      <c r="BI15" s="214"/>
      <c r="BJ15" s="214"/>
      <c r="BK15" s="214"/>
      <c r="BL15" s="215"/>
      <c r="BM15" s="205">
        <f t="shared" si="10"/>
        <v>0</v>
      </c>
      <c r="BN15" s="214"/>
      <c r="BO15" s="214"/>
      <c r="BP15" s="214"/>
      <c r="BQ15" s="214"/>
      <c r="BR15" s="215"/>
      <c r="BS15" s="205">
        <f t="shared" si="11"/>
        <v>0</v>
      </c>
      <c r="BT15" s="214"/>
      <c r="BU15" s="214"/>
      <c r="BV15" s="214"/>
      <c r="BW15" s="214"/>
      <c r="BX15" s="215"/>
      <c r="BY15" s="70"/>
      <c r="BZ15" s="71"/>
    </row>
    <row r="16" spans="1:78" hidden="1" outlineLevel="1" x14ac:dyDescent="0.2">
      <c r="A16" s="50"/>
      <c r="B16" s="50"/>
      <c r="C16" s="61"/>
      <c r="D16" s="62"/>
      <c r="E16" s="62"/>
      <c r="F16" s="62"/>
      <c r="G16" s="62"/>
      <c r="H16" s="62"/>
      <c r="I16" s="62"/>
      <c r="J16" s="62"/>
      <c r="K16" s="175"/>
      <c r="L16" s="176"/>
      <c r="M16" s="176"/>
      <c r="N16" s="176"/>
      <c r="O16" s="179"/>
      <c r="P16" s="351"/>
      <c r="R16" s="40">
        <v>6</v>
      </c>
      <c r="S16" s="46" t="s">
        <v>17</v>
      </c>
      <c r="T16" s="86">
        <f t="shared" si="12"/>
        <v>41</v>
      </c>
      <c r="U16" s="87" t="s">
        <v>94</v>
      </c>
      <c r="V16" s="88">
        <f>IF(T16=Const_Max,U16,T16)</f>
        <v>41</v>
      </c>
      <c r="W16" s="86">
        <f t="shared" si="0"/>
        <v>0</v>
      </c>
      <c r="X16" s="87" t="s">
        <v>94</v>
      </c>
      <c r="Y16" s="88">
        <f>IF(W16=Const_Max,X16,W16)</f>
        <v>0</v>
      </c>
      <c r="Z16" s="86">
        <f t="shared" si="1"/>
        <v>0</v>
      </c>
      <c r="AA16" s="87" t="s">
        <v>94</v>
      </c>
      <c r="AB16" s="88">
        <f>IF(Z16=Const_Max,AA16,Z16)</f>
        <v>0</v>
      </c>
      <c r="AC16" s="89" t="str">
        <f t="shared" si="2"/>
        <v>ValeurMaximale</v>
      </c>
      <c r="AD16" s="90">
        <f>DistParc_Max</f>
        <v>0</v>
      </c>
      <c r="AE16" s="88">
        <f>IF(AC16=Const_Max,AD16,AC16)</f>
        <v>0</v>
      </c>
      <c r="AF16" s="89" t="str">
        <f>VLOOKUP($R16,Tbl_Crit03.01,3,0)</f>
        <v>ValeurMaximale</v>
      </c>
      <c r="AG16" s="90">
        <f>DistExpl_Max</f>
        <v>0</v>
      </c>
      <c r="AH16" s="88">
        <f>IF(AF16=Const_Max,AG16,AF16)</f>
        <v>0</v>
      </c>
      <c r="AI16" s="89" t="str">
        <f t="shared" si="3"/>
        <v>ValeurMaximale</v>
      </c>
      <c r="AJ16" s="90">
        <f>SAU_Max</f>
        <v>0</v>
      </c>
      <c r="AK16" s="88">
        <f>IF(AI16=Const_Max,AJ16,AI16)</f>
        <v>0</v>
      </c>
      <c r="AL16" s="89" t="str">
        <f t="shared" si="4"/>
        <v>ValeurMaximale</v>
      </c>
      <c r="AM16" s="90">
        <f>SPublicAvt_Max</f>
        <v>0</v>
      </c>
      <c r="AN16" s="88">
        <f>IF(AL16=Const_Max,AM16,AL16)</f>
        <v>0</v>
      </c>
      <c r="AO16" s="89" t="str">
        <f t="shared" si="5"/>
        <v>ValeurMaximale</v>
      </c>
      <c r="AP16" s="91">
        <f>PctSPublicAvt_Max</f>
        <v>0</v>
      </c>
      <c r="AQ16" s="92">
        <f>IF(AO16=Const_Max,AP16,AO16)</f>
        <v>0</v>
      </c>
      <c r="AR16" s="89" t="str">
        <f t="shared" si="6"/>
        <v>ValeurMaximale</v>
      </c>
      <c r="AS16" s="91" cm="1">
        <f t="array" ref="AS16">PctSPublicApr_Max</f>
        <v>0</v>
      </c>
      <c r="AT16" s="92">
        <f>IF(AR16=Const_Max,AS16,AR16)</f>
        <v>0</v>
      </c>
      <c r="AU16" s="93" t="str">
        <f t="shared" si="7"/>
        <v>ValeurMaximale</v>
      </c>
      <c r="AV16" s="94" cm="1">
        <f t="array" ref="AV16">Crit05_Max</f>
        <v>0</v>
      </c>
      <c r="AW16" s="95">
        <f>IF(AU16=Const_Max,AV16,AU16)</f>
        <v>0</v>
      </c>
      <c r="AX16" s="95">
        <f>IF(AU16=Const_Max,AV16,AU16)</f>
        <v>0</v>
      </c>
      <c r="AY16" s="96">
        <f>IF(AU16=Const_Max,AV16,AU16)</f>
        <v>0</v>
      </c>
      <c r="AZ16" s="97">
        <f>VLOOKUP($R12,Tbl_Crit05,3,0)</f>
        <v>0</v>
      </c>
      <c r="BA16" s="209" t="str">
        <f t="shared" si="8"/>
        <v>ValeurMaximale</v>
      </c>
      <c r="BB16" s="210">
        <f>Crit06_Max</f>
        <v>0</v>
      </c>
      <c r="BC16" s="211">
        <f>IF(BA16=Const_Max,BB16,BA16)</f>
        <v>0</v>
      </c>
      <c r="BD16" s="211">
        <f>IF(BA16=Const_Max,BB16,BA16)</f>
        <v>0</v>
      </c>
      <c r="BE16" s="212">
        <f>IF(BA16=Const_Max,BB16,BA16)</f>
        <v>0</v>
      </c>
      <c r="BF16" s="213">
        <f>VLOOKUP($R12,Tbl_Crit06,3,0)</f>
        <v>0</v>
      </c>
      <c r="BG16" s="209" t="str">
        <f t="shared" si="9"/>
        <v>ValeurMaximale</v>
      </c>
      <c r="BH16" s="210">
        <f>Crit07_Max</f>
        <v>0</v>
      </c>
      <c r="BI16" s="211">
        <f>IF(BG16=Const_Max,BH16,BG16)</f>
        <v>0</v>
      </c>
      <c r="BJ16" s="211">
        <f>IF(BG16=Const_Max,BH16,BG16)</f>
        <v>0</v>
      </c>
      <c r="BK16" s="212">
        <f>IF(BG16=Const_Max,BH16,BG16)</f>
        <v>0</v>
      </c>
      <c r="BL16" s="213">
        <f>VLOOKUP($R12,Tbl_Crit07,3,0)</f>
        <v>0</v>
      </c>
      <c r="BM16" s="209" t="str">
        <f t="shared" si="10"/>
        <v>ValeurMaximale</v>
      </c>
      <c r="BN16" s="210">
        <f>Crit08_Max</f>
        <v>0</v>
      </c>
      <c r="BO16" s="211">
        <f>IF(BM16=Const_Max,BN16,BM16)</f>
        <v>0</v>
      </c>
      <c r="BP16" s="211">
        <f>IF(BM16=Const_Max,BN16,BM16)</f>
        <v>0</v>
      </c>
      <c r="BQ16" s="212">
        <f>IF(BM16=Const_Max,BN16,BM16)</f>
        <v>0</v>
      </c>
      <c r="BR16" s="213">
        <f>VLOOKUP($R12,Tbl_Crit08,3,0)</f>
        <v>0</v>
      </c>
      <c r="BS16" s="209" t="str">
        <f t="shared" si="11"/>
        <v>ValeurMaximale</v>
      </c>
      <c r="BT16" s="210">
        <f>Crit09_Max</f>
        <v>0</v>
      </c>
      <c r="BU16" s="211">
        <f>IF(BS16=Const_Max,BT16,BS16)</f>
        <v>0</v>
      </c>
      <c r="BV16" s="211">
        <f>IF(BS16=Const_Max,BT16,BS16)</f>
        <v>0</v>
      </c>
      <c r="BW16" s="212">
        <f>IF(BS16=Const_Max,BT16,BS16)</f>
        <v>0</v>
      </c>
      <c r="BX16" s="213">
        <f>VLOOKUP($R12,Tbl_Crit09,3,0)</f>
        <v>0</v>
      </c>
      <c r="BY16" s="70"/>
      <c r="BZ16" s="71"/>
    </row>
    <row r="17" spans="1:78" ht="13.5" hidden="1" outlineLevel="1" thickBot="1" x14ac:dyDescent="0.25">
      <c r="A17" s="50"/>
      <c r="B17" s="50"/>
      <c r="C17" s="61"/>
      <c r="D17" s="62"/>
      <c r="E17" s="62"/>
      <c r="F17" s="62"/>
      <c r="G17" s="62"/>
      <c r="H17" s="62"/>
      <c r="I17" s="62"/>
      <c r="J17" s="62"/>
      <c r="K17" s="175"/>
      <c r="L17" s="176"/>
      <c r="M17" s="176"/>
      <c r="N17" s="176"/>
      <c r="O17" s="179"/>
      <c r="P17" s="352"/>
      <c r="R17" s="40">
        <v>7</v>
      </c>
      <c r="S17" s="46" t="s">
        <v>25</v>
      </c>
      <c r="T17" s="78">
        <f t="shared" si="12"/>
        <v>0</v>
      </c>
      <c r="U17" s="98"/>
      <c r="V17" s="99"/>
      <c r="W17" s="78">
        <f t="shared" si="0"/>
        <v>0</v>
      </c>
      <c r="X17" s="98"/>
      <c r="Y17" s="99"/>
      <c r="Z17" s="78">
        <f t="shared" si="1"/>
        <v>0</v>
      </c>
      <c r="AA17" s="98"/>
      <c r="AB17" s="99"/>
      <c r="AC17" s="78">
        <f t="shared" si="2"/>
        <v>0</v>
      </c>
      <c r="AD17" s="98"/>
      <c r="AE17" s="99"/>
      <c r="AF17" s="78">
        <f>VLOOKUP($R17,Tbl_Crit03.02,3,0)</f>
        <v>0</v>
      </c>
      <c r="AG17" s="98"/>
      <c r="AH17" s="99"/>
      <c r="AI17" s="78">
        <f t="shared" si="3"/>
        <v>0</v>
      </c>
      <c r="AJ17" s="98"/>
      <c r="AK17" s="99"/>
      <c r="AL17" s="78">
        <f t="shared" si="4"/>
        <v>0</v>
      </c>
      <c r="AM17" s="98"/>
      <c r="AN17" s="99"/>
      <c r="AO17" s="78">
        <f t="shared" si="5"/>
        <v>0</v>
      </c>
      <c r="AP17" s="98"/>
      <c r="AQ17" s="99"/>
      <c r="AR17" s="78">
        <f t="shared" si="6"/>
        <v>0</v>
      </c>
      <c r="AS17" s="98"/>
      <c r="AT17" s="99"/>
      <c r="AU17" s="81">
        <f t="shared" si="7"/>
        <v>0</v>
      </c>
      <c r="AV17" s="100"/>
      <c r="AW17" s="100"/>
      <c r="AX17" s="100"/>
      <c r="AY17" s="100"/>
      <c r="AZ17" s="101"/>
      <c r="BA17" s="205">
        <f t="shared" si="8"/>
        <v>0</v>
      </c>
      <c r="BB17" s="214"/>
      <c r="BC17" s="214"/>
      <c r="BD17" s="214"/>
      <c r="BE17" s="214"/>
      <c r="BF17" s="215"/>
      <c r="BG17" s="205">
        <f t="shared" si="9"/>
        <v>0</v>
      </c>
      <c r="BH17" s="214"/>
      <c r="BI17" s="214"/>
      <c r="BJ17" s="214"/>
      <c r="BK17" s="214"/>
      <c r="BL17" s="215"/>
      <c r="BM17" s="205">
        <f t="shared" si="10"/>
        <v>0</v>
      </c>
      <c r="BN17" s="214"/>
      <c r="BO17" s="214"/>
      <c r="BP17" s="214"/>
      <c r="BQ17" s="214"/>
      <c r="BR17" s="215"/>
      <c r="BS17" s="205">
        <f t="shared" si="11"/>
        <v>0</v>
      </c>
      <c r="BT17" s="214"/>
      <c r="BU17" s="214"/>
      <c r="BV17" s="214"/>
      <c r="BW17" s="214"/>
      <c r="BX17" s="215"/>
      <c r="BY17" s="70"/>
      <c r="BZ17" s="71"/>
    </row>
    <row r="18" spans="1:78" s="174" customFormat="1" ht="76.5" x14ac:dyDescent="0.25">
      <c r="A18" s="164" t="s">
        <v>144</v>
      </c>
      <c r="B18" s="165" t="s">
        <v>145</v>
      </c>
      <c r="C18" s="180" t="s">
        <v>44</v>
      </c>
      <c r="D18" s="233" t="s">
        <v>73</v>
      </c>
      <c r="E18" s="233" t="s">
        <v>43</v>
      </c>
      <c r="F18" s="233" t="s">
        <v>93</v>
      </c>
      <c r="G18" s="233" t="s">
        <v>42</v>
      </c>
      <c r="H18" s="233" t="s">
        <v>110</v>
      </c>
      <c r="I18" s="233" t="s">
        <v>116</v>
      </c>
      <c r="J18" s="234" t="s">
        <v>117</v>
      </c>
      <c r="K18" s="234" t="str">
        <f>VLOOKUP(0,Tbl_Crit05,3,0)</f>
        <v>Description du Critère N° 5 (A faire dans "Données Générales")</v>
      </c>
      <c r="L18" s="234" t="str">
        <f>VLOOKUP(0,Tbl_Crit06,3,0)</f>
        <v>Description du Critère N° 6 (A faire dans "Données Générales")</v>
      </c>
      <c r="M18" s="234" t="str">
        <f>VLOOKUP(0,Tbl_Crit07,3,0)</f>
        <v>Description du Critère N° 7 (A faire dans "Données Générales")</v>
      </c>
      <c r="N18" s="234" t="str">
        <f>VLOOKUP(0,Tbl_Crit08,3,0)</f>
        <v>Description du Critère N° 8 (A faire dans "Données Générales")</v>
      </c>
      <c r="O18" s="235" t="str">
        <f>VLOOKUP(0,Tbl_Crit09,3,0)</f>
        <v>Description du Critère N° 9 (A faire dans "Données Générales")</v>
      </c>
      <c r="P18" s="166" t="s">
        <v>72</v>
      </c>
      <c r="Q18" s="244"/>
      <c r="R18" s="167"/>
      <c r="S18" s="167"/>
      <c r="T18" s="102" t="s">
        <v>5</v>
      </c>
      <c r="U18" s="103" t="s">
        <v>38</v>
      </c>
      <c r="V18" s="168" t="s">
        <v>186</v>
      </c>
      <c r="W18" s="102" t="s">
        <v>0</v>
      </c>
      <c r="X18" s="103" t="s">
        <v>0</v>
      </c>
      <c r="Y18" s="169" t="s">
        <v>187</v>
      </c>
      <c r="Z18" s="102" t="s">
        <v>64</v>
      </c>
      <c r="AA18" s="103" t="s">
        <v>64</v>
      </c>
      <c r="AB18" s="168" t="s">
        <v>186</v>
      </c>
      <c r="AC18" s="102" t="s">
        <v>70</v>
      </c>
      <c r="AD18" s="103" t="s">
        <v>70</v>
      </c>
      <c r="AE18" s="169" t="s">
        <v>187</v>
      </c>
      <c r="AF18" s="102" t="s">
        <v>71</v>
      </c>
      <c r="AG18" s="103" t="s">
        <v>71</v>
      </c>
      <c r="AH18" s="169" t="s">
        <v>187</v>
      </c>
      <c r="AI18" s="102" t="s">
        <v>0</v>
      </c>
      <c r="AJ18" s="103" t="s">
        <v>0</v>
      </c>
      <c r="AK18" s="169" t="s">
        <v>187</v>
      </c>
      <c r="AL18" s="102" t="s">
        <v>91</v>
      </c>
      <c r="AM18" s="103" t="s">
        <v>91</v>
      </c>
      <c r="AN18" s="169" t="s">
        <v>187</v>
      </c>
      <c r="AO18" s="102" t="s">
        <v>92</v>
      </c>
      <c r="AP18" s="103" t="s">
        <v>92</v>
      </c>
      <c r="AQ18" s="169" t="s">
        <v>187</v>
      </c>
      <c r="AR18" s="102" t="s">
        <v>104</v>
      </c>
      <c r="AS18" s="103" t="s">
        <v>104</v>
      </c>
      <c r="AT18" s="169" t="s">
        <v>187</v>
      </c>
      <c r="AU18" s="104" t="str">
        <f>VLOOKUP(0,Tbl_Crit05,3,0)</f>
        <v>Description du Critère N° 5 (A faire dans "Données Générales")</v>
      </c>
      <c r="AV18" s="105" t="str">
        <f>AU18</f>
        <v>Description du Critère N° 5 (A faire dans "Données Générales")</v>
      </c>
      <c r="AW18" s="170" t="s">
        <v>185</v>
      </c>
      <c r="AX18" s="171" t="s">
        <v>186</v>
      </c>
      <c r="AY18" s="172" t="s">
        <v>187</v>
      </c>
      <c r="AZ18" s="173" t="s">
        <v>111</v>
      </c>
      <c r="BA18" s="180" t="str">
        <f>VLOOKUP(0,Tbl_Crit06,3,0)</f>
        <v>Description du Critère N° 6 (A faire dans "Données Générales")</v>
      </c>
      <c r="BB18" s="216" t="str">
        <f>BA18</f>
        <v>Description du Critère N° 6 (A faire dans "Données Générales")</v>
      </c>
      <c r="BC18" s="217" t="s">
        <v>185</v>
      </c>
      <c r="BD18" s="218" t="s">
        <v>186</v>
      </c>
      <c r="BE18" s="219" t="s">
        <v>187</v>
      </c>
      <c r="BF18" s="220" t="s">
        <v>111</v>
      </c>
      <c r="BG18" s="180" t="str">
        <f>VLOOKUP(0,Tbl_Crit07,3,0)</f>
        <v>Description du Critère N° 7 (A faire dans "Données Générales")</v>
      </c>
      <c r="BH18" s="216" t="str">
        <f>BG18</f>
        <v>Description du Critère N° 7 (A faire dans "Données Générales")</v>
      </c>
      <c r="BI18" s="217" t="s">
        <v>185</v>
      </c>
      <c r="BJ18" s="218" t="s">
        <v>186</v>
      </c>
      <c r="BK18" s="219" t="s">
        <v>187</v>
      </c>
      <c r="BL18" s="220" t="s">
        <v>111</v>
      </c>
      <c r="BM18" s="180" t="str">
        <f>VLOOKUP(0,Tbl_Crit08,3,0)</f>
        <v>Description du Critère N° 8 (A faire dans "Données Générales")</v>
      </c>
      <c r="BN18" s="216" t="str">
        <f>BM18</f>
        <v>Description du Critère N° 8 (A faire dans "Données Générales")</v>
      </c>
      <c r="BO18" s="217" t="s">
        <v>185</v>
      </c>
      <c r="BP18" s="218" t="s">
        <v>186</v>
      </c>
      <c r="BQ18" s="219" t="s">
        <v>187</v>
      </c>
      <c r="BR18" s="220" t="s">
        <v>111</v>
      </c>
      <c r="BS18" s="180" t="str">
        <f>VLOOKUP(0,Tbl_Crit09,3,0)</f>
        <v>Description du Critère N° 9 (A faire dans "Données Générales")</v>
      </c>
      <c r="BT18" s="216" t="str">
        <f>BS18</f>
        <v>Description du Critère N° 9 (A faire dans "Données Générales")</v>
      </c>
      <c r="BU18" s="217" t="s">
        <v>185</v>
      </c>
      <c r="BV18" s="218" t="s">
        <v>186</v>
      </c>
      <c r="BW18" s="219" t="s">
        <v>187</v>
      </c>
      <c r="BX18" s="220" t="s">
        <v>111</v>
      </c>
      <c r="BY18" s="189" t="s">
        <v>7</v>
      </c>
      <c r="BZ18" s="106" t="s">
        <v>118</v>
      </c>
    </row>
    <row r="19" spans="1:78" s="123" customFormat="1" ht="25.5" x14ac:dyDescent="0.25">
      <c r="A19" s="161"/>
      <c r="B19" s="299"/>
      <c r="C19" s="162"/>
      <c r="D19" s="236" t="str" cm="1">
        <f t="array" ref="D19:D33">IF($P19:$P33,DATEDIF(C19:C33,Param_DLimS,"Y"),"NA")</f>
        <v>NA</v>
      </c>
      <c r="E19" s="237"/>
      <c r="F19" s="237"/>
      <c r="G19" s="238"/>
      <c r="H19" s="238"/>
      <c r="I19" s="239" t="str" cm="1">
        <f t="array" ref="I19:I33">IF($P19:$P33,F19:F33/E19:E33,"NA")</f>
        <v>NA</v>
      </c>
      <c r="J19" s="239" t="str" cm="1">
        <f t="array" ref="J19:J33">IF($P19:$P33,((F19:F33)+Param_Contenance)/(E19:E33+Param_Contenance),"NA")</f>
        <v>NA</v>
      </c>
      <c r="K19" s="177"/>
      <c r="L19" s="177"/>
      <c r="M19" s="177"/>
      <c r="N19" s="177"/>
      <c r="O19" s="181"/>
      <c r="P19" s="107" t="b" cm="1">
        <f t="array" ref="P19:P33">NOT(ISBLANK(A19:A33))</f>
        <v>0</v>
      </c>
      <c r="Q19" s="245"/>
      <c r="R19" s="108"/>
      <c r="S19" s="108"/>
      <c r="T19" s="109" t="str" cm="1">
        <f t="array" ref="T19:T33">IF($P19:$P33,V19:V33,"NA")</f>
        <v>NA</v>
      </c>
      <c r="U19" s="110" t="str" cm="1">
        <f t="array" ref="U19:U33">D19:D33</f>
        <v>NA</v>
      </c>
      <c r="V19" s="111" cm="1">
        <f t="array" ref="V19:V33">IF(U19:U33&lt;V$14,T$13,IF(U19:U33&gt;=V$16,T$17,T$15))</f>
        <v>0</v>
      </c>
      <c r="W19" s="109" t="str" cm="1">
        <f t="array" ref="W19:W33">IF($P19:$P33,ROUND(Y19:Y33,Const_Arrondi),"NA")</f>
        <v>NA</v>
      </c>
      <c r="X19" s="112" cm="1">
        <f t="array" ref="X19:X33">$E19:$E33</f>
        <v>0</v>
      </c>
      <c r="Y19" s="113" t="e" cm="1">
        <f t="array" ref="Y19:Y33">IF(X19:X33&lt;Y$14,W$13,IF(X19:X33&gt;Y$16,W$17,W$13-(((X19:X33-Y$14)/(Y$16-Y$14))*(W$13-W$17))))</f>
        <v>#DIV/0!</v>
      </c>
      <c r="Z19" s="109" t="str" cm="1">
        <f t="array" ref="Z19:Z33">IF($P19:$P33,AB19:AB33,"NA")</f>
        <v>NA</v>
      </c>
      <c r="AA19" s="112" cm="1">
        <f t="array" ref="AA19:AA33">E19:E33+Param_Contenance</f>
        <v>0</v>
      </c>
      <c r="AB19" s="111" cm="1">
        <f t="array" ref="AB19:AB33">IF(AA19:AA33&lt;AB$14,Z$13,IF(AA19:AA33&gt;=AB$16,Z$17,Z$15))</f>
        <v>0</v>
      </c>
      <c r="AC19" s="109" t="str" cm="1">
        <f t="array" ref="AC19:AC33">IF($P19:$P33,ROUND(AE19:AE33,Const_Arrondi),"NA")</f>
        <v>NA</v>
      </c>
      <c r="AD19" s="114" cm="1">
        <f t="array" ref="AD19:AD33">G19:G33</f>
        <v>0</v>
      </c>
      <c r="AE19" s="113" cm="1">
        <f t="array" ref="AE19:AE33">IF(AD19:AD33&lt;=AE$14,AC$13,IF(AD19:AD33&gt;AE$16,AC$17,AC$13-(((AD19:AD33-AE$14)/(AE$16-AE$14))*(AC$13-AC$17))))</f>
        <v>10</v>
      </c>
      <c r="AF19" s="109" t="str" cm="1">
        <f t="array" ref="AF19:AF33">IF($P19:$P33,ROUND(AH19:AH33,Const_Arrondi),"NA")</f>
        <v>NA</v>
      </c>
      <c r="AG19" s="114" cm="1">
        <f t="array" ref="AG19:AG33">H19:H33</f>
        <v>0</v>
      </c>
      <c r="AH19" s="113" cm="1">
        <f t="array" ref="AH19:AH33">IF(AG19:AG33&lt;=AH$14,AF$13,IF(AG19:AG33&gt;AH$16,AF$17,AF$13-(((AG19:AG33-AH$14)/(AH$16-AH$14))*(AF$13-AF$17))))</f>
        <v>10</v>
      </c>
      <c r="AI19" s="109" t="str" cm="1">
        <f t="array" ref="AI19:AI33">IF($P19:$P33,ROUND(AK19:AK33,Const_Arrondi),"NA")</f>
        <v>NA</v>
      </c>
      <c r="AJ19" s="112" cm="1">
        <f t="array" ref="AJ19:AJ33">$E19:$E33</f>
        <v>0</v>
      </c>
      <c r="AK19" s="113" cm="1">
        <f t="array" ref="AK19:AK33">IF(AJ19:AJ33&lt;=AK$14,AI$13,IF(AJ19:AJ33&gt;AK$16,AI$17,AI$13-(((AJ19:AJ33-AK$14)/(AK$16-AK$14))*(AI$13-AI$17))))</f>
        <v>4</v>
      </c>
      <c r="AL19" s="109" t="str" cm="1">
        <f t="array" ref="AL19:AL33">IF($P19:$P33,ROUND(AN19:AN33,Const_Arrondi),"NA")</f>
        <v>NA</v>
      </c>
      <c r="AM19" s="112" cm="1">
        <f t="array" ref="AM19:AM33">$F19:$F33</f>
        <v>0</v>
      </c>
      <c r="AN19" s="113" cm="1">
        <f t="array" ref="AN19:AN33">IF(AM19:AM33&lt;=AN$14,AL$13,IF(AM19:AM33&gt;AN$16,AL$17,AL$13-(((AM19:AM33-AN$14)/(AN$16-AN$14))*(AL$13-AL$17))))</f>
        <v>4</v>
      </c>
      <c r="AO19" s="109" t="str" cm="1">
        <f t="array" ref="AO19:AO33">IF($P19:$P33,ROUND(AQ19:AQ33,Const_Arrondi),"NA")</f>
        <v>NA</v>
      </c>
      <c r="AP19" s="115" t="str" cm="1">
        <f t="array" ref="AP19:AP33">$I19:$I33</f>
        <v>NA</v>
      </c>
      <c r="AQ19" s="113" cm="1">
        <f t="array" ref="AQ19:AQ33">IF(AP19:AP33&lt;=AQ$14,AO$13,IF(AP19:AP33&gt;AQ$16,AO$17,AO$13-(((AP19:AP33-AQ$14)/(AQ$16-AQ$14))*(AO$13-AO$17))))</f>
        <v>0</v>
      </c>
      <c r="AR19" s="109" t="str" cm="1">
        <f t="array" ref="AR19:AR33">IF($P19:$P33,ROUND(AT19:AT33,Const_Arrondi),"NA")</f>
        <v>NA</v>
      </c>
      <c r="AS19" s="115" t="str" cm="1">
        <f t="array" ref="AS19:AS33">$J19:$J33</f>
        <v>NA</v>
      </c>
      <c r="AT19" s="113" cm="1">
        <f t="array" ref="AT19:AT33">IF(AS19:AS33&lt;=AT$14,AR$13,IF(AS19:AS33&gt;AT$16,AR$17,AR$13-(((AS19:AS33-AT$14)/(AT$16-AT$14))*(AR$13-AR$17))))</f>
        <v>0</v>
      </c>
      <c r="AU19" s="116" t="str" cm="1">
        <f t="array" ref="AU19:AU33">IF($P19:$P33,IF(AU$11=Const_PasCrit,0,IF(AU$11=Const_Escalier3,AW19:AW33,IF(AU$11=Const_Escalier4,AX19:AX33,IF(AU$11=Const_PlanIncl,ROUND(AY19:AY33,Const_Arrondi),IF(AU$11=Const_Manuel,IF(AZ19:AZ33=Const_CritManTooHigh,AZ19:AZ33,ROUND(AZ19:AZ33,Const_Arrondi)),"Pas de formule"))))),"NA")</f>
        <v>NA</v>
      </c>
      <c r="AV19" s="117" t="str" cm="1">
        <f t="array" ref="AV19:AV33">IF($P19:$P33,K19:K33,"NA")</f>
        <v>NA</v>
      </c>
      <c r="AW19" s="118" cm="1">
        <f t="array" ref="AW19:AW33">IF(AV19:AV33&lt;=AW$14,AU$13,IF(AV19:AV33&gt;AW$16,AU$17,AU$15))</f>
        <v>0</v>
      </c>
      <c r="AX19" s="119" cm="1">
        <f t="array" ref="AX19:AX33">IF(AV19:AV33&lt;AX$14,AU$13,IF(AV19:AV33&gt;=AX$16,AU$17,AU$15))</f>
        <v>0</v>
      </c>
      <c r="AY19" s="120" cm="1">
        <f t="array" ref="AY19:AY33">IF(AV19:AV33&lt;=AY$14,AU$13,IF(AV19:AV33&gt;AY$16,AU$17,AU$13-(((AV19:AV33-AY$14)/(AY$16-AY$14))*(AU$13-AU$17))))</f>
        <v>0</v>
      </c>
      <c r="AZ19" s="121" t="str" cm="1">
        <f t="array" ref="AZ19:AZ33">IF((AV19:AV33&lt;=AZ$16),AV19:AV33,Const_CritManTooHigh)</f>
        <v>Critère Manuel trop grand</v>
      </c>
      <c r="BA19" s="221" t="str" cm="1">
        <f t="array" ref="BA19:BA33">IF($P19:$P33,IF(BA$11=Const_PasCrit,0,IF(BA$11=Const_Escalier3,BC19:BC33,IF(BA$11=Const_Escalier4,BD19:BD33,IF(BA$11=Const_PlanIncl,ROUND(BE19:BE33,Const_Arrondi),IF(BA$11=Const_Manuel,IF(BF19:BF33=Const_CritManTooHigh,BF19:BF33,ROUND(BF19:BF33,Const_Arrondi)),"Pas de formule"))))),"NA")</f>
        <v>NA</v>
      </c>
      <c r="BB19" s="222" t="str" cm="1">
        <f t="array" ref="BB19:BB33">IF($P19:$P33,L19:L33,"NA")</f>
        <v>NA</v>
      </c>
      <c r="BC19" s="223" cm="1">
        <f t="array" ref="BC19:BC33">IF(BB19:BB33&lt;=BC$14,BA$13,IF(BB19:BB33&gt;BC$16,BA$17,BA$15))</f>
        <v>0</v>
      </c>
      <c r="BD19" s="224" cm="1">
        <f t="array" ref="BD19:BD33">IF(BB19:BB33&lt;BD$14,BA$13,IF(BB19:BB33&gt;=BD$16,BA$17,BA$15))</f>
        <v>0</v>
      </c>
      <c r="BE19" s="225" cm="1">
        <f t="array" ref="BE19:BE33">IF(BB19:BB33&lt;=BE$14,BA$13,IF(BB19:BB33&gt;BE$16,BA$17,BA$13-(((BB19:BB33-BE$14)/(BE$16-BE$14))*(BA$13-BA$17))))</f>
        <v>0</v>
      </c>
      <c r="BF19" s="226" t="str" cm="1">
        <f t="array" ref="BF19:BF33">IF((BB19:BB33&lt;=BF$16),BB19:BB33,Const_CritManTooHigh)</f>
        <v>Critère Manuel trop grand</v>
      </c>
      <c r="BG19" s="221" t="str" cm="1">
        <f t="array" ref="BG19:BG33">IF($P19:$P33,IF(BG$11=Const_PasCrit,0,IF(BG$11=Const_Escalier3,BI19:BI33,IF(BG$11=Const_Escalier4,BJ19:BJ33,IF(BG$11=Const_PlanIncl,ROUND(BK19:BK33,Const_Arrondi),IF(BG$11=Const_Manuel,IF(BL19:BL33=Const_CritManTooHigh,BL19:BL33,ROUND(BL19:BL33,Const_Arrondi)),"Pas de formule"))))),"NA")</f>
        <v>NA</v>
      </c>
      <c r="BH19" s="222" t="str" cm="1">
        <f t="array" ref="BH19:BH33">IF($P19:$P33,M19:M33,"NA")</f>
        <v>NA</v>
      </c>
      <c r="BI19" s="223" cm="1">
        <f t="array" ref="BI19:BI33">IF(BH19:BH33&lt;=BI$14,BG$13,IF(BH19:BH33&gt;BI$16,BG$17,BG$15))</f>
        <v>0</v>
      </c>
      <c r="BJ19" s="224" cm="1">
        <f t="array" ref="BJ19:BJ33">IF(BH19:BH33&lt;BJ$14,BG$13,IF(BH19:BH33&gt;=BJ$16,BG$17,BG$15))</f>
        <v>0</v>
      </c>
      <c r="BK19" s="225" cm="1">
        <f t="array" ref="BK19:BK33">IF(BH19:BH33&lt;=BK$14,BG$13,IF(BH19:BH33&gt;BK$16,BG$17,BG$13-(((BH19:BH33-BK$14)/(BK$16-BK$14))*(BG$13-BG$17))))</f>
        <v>0</v>
      </c>
      <c r="BL19" s="226" t="str" cm="1">
        <f t="array" ref="BL19:BL33">IF((BH19:BH33&lt;=BL$16),BH19:BH33,Const_CritManTooHigh)</f>
        <v>Critère Manuel trop grand</v>
      </c>
      <c r="BM19" s="221" t="str" cm="1">
        <f t="array" ref="BM19:BM33">IF($P19:$P33,IF(BM$11=Const_PasCrit,0,IF(BM$11=Const_Escalier3,BO19:BO33,IF(BM$11=Const_Escalier4,BP19:BP33,IF(BM$11=Const_PlanIncl,ROUND(BQ19:BQ33,Const_Arrondi),IF(BM$11=Const_Manuel,IF(BR19:BR33=Const_CritManTooHigh,BR19:BR33,ROUND(BR19:BR33,Const_Arrondi)),"Pas de formule"))))),"NA")</f>
        <v>NA</v>
      </c>
      <c r="BN19" s="222" t="str" cm="1">
        <f t="array" ref="BN19:BN33">IF($P19:$P33,N19:N33,"NA")</f>
        <v>NA</v>
      </c>
      <c r="BO19" s="223" cm="1">
        <f t="array" ref="BO19:BO33">IF(BN19:BN33&lt;=BO$14,BM$13,IF(BN19:BN33&gt;BO$16,BM$17,BM$15))</f>
        <v>0</v>
      </c>
      <c r="BP19" s="224" cm="1">
        <f t="array" ref="BP19:BP33">IF(BN19:BN33&lt;BP$14,BM$13,IF(BN19:BN33&gt;=BP$16,BM$17,BM$15))</f>
        <v>0</v>
      </c>
      <c r="BQ19" s="225" cm="1">
        <f t="array" ref="BQ19:BQ33">IF(BN19:BN33&lt;=BQ$14,BM$13,IF(BN19:BN33&gt;BQ$16,BM$17,BM$13-(((BN19:BN33-BQ$14)/(BQ$16-BQ$14))*(BM$13-BM$17))))</f>
        <v>0</v>
      </c>
      <c r="BR19" s="226" t="str" cm="1">
        <f t="array" ref="BR19:BR33">IF((BN19:BN33&lt;=BR$16),BN19:BN33,Const_CritManTooHigh)</f>
        <v>Critère Manuel trop grand</v>
      </c>
      <c r="BS19" s="221" t="str" cm="1">
        <f t="array" ref="BS19:BS33">IF($P19:$P33,IF(BS$11=Const_PasCrit,0,IF(BS$11=Const_Escalier3,BU19:BU33,IF(BS$11=Const_Escalier4,BV19:BV33,IF(BS$11=Const_PlanIncl,ROUND(BW19:BW33,Const_Arrondi),IF(BS$11=Const_Manuel,IF(BX19:BX33=Const_CritManTooHigh,BX19:BX33,ROUND(BX19:BX33,Const_Arrondi)),"Pas de formule"))))),"NA")</f>
        <v>NA</v>
      </c>
      <c r="BT19" s="222" t="str" cm="1">
        <f t="array" ref="BT19:BT33">IF($P19:$P33,O19:O33,"NA")</f>
        <v>NA</v>
      </c>
      <c r="BU19" s="223" cm="1">
        <f t="array" ref="BU19:BU33">IF(BT19:BT33&lt;=BU$14,BS$13,IF(BT19:BT33&gt;BU$16,BS$17,BS$15))</f>
        <v>0</v>
      </c>
      <c r="BV19" s="224" cm="1">
        <f t="array" ref="BV19:BV33">IF(BT19:BT33&lt;BV$14,BS$13,IF(BT19:BT33&gt;=BV$16,BS$17,BS$15))</f>
        <v>0</v>
      </c>
      <c r="BW19" s="225" cm="1">
        <f t="array" ref="BW19:BW33">IF(BT19:BT33&lt;=BW$14,BS$13,IF(BT19:BT33&gt;BW$16,BS$17,BS$13-(((BT19:BT33-BW$14)/(BW$16-BW$14))*(BS$13-BS$17))))</f>
        <v>0</v>
      </c>
      <c r="BX19" s="226" t="str" cm="1">
        <f t="array" ref="BX19:BX33">IF((BT19:BT33&lt;=BX$16),BT19:BT33,Const_CritManTooHigh)</f>
        <v>Critère Manuel trop grand</v>
      </c>
      <c r="BY19" s="187" t="str" cm="1">
        <f t="array" ref="BY19:BY33">IF($P19:$P33,T19:T33+W19:W33+Z19:Z33+AC19:AC33+AF19:AF33+AI19:AI33+AL19:AL33+AO19:AO33+AR19:AR33+AU19:AU33+BA19:BA33+BG19:BG33+BM19:BM33+BS19:BS33,"NA")</f>
        <v>NA</v>
      </c>
      <c r="BZ19" s="122" t="str" cm="1">
        <f t="array" ref="BZ19:BZ33">IF($P19:$P33,IF(BY19:BY33=ScoreTotal_Max,"RETENU",""),"")</f>
        <v/>
      </c>
    </row>
    <row r="20" spans="1:78" s="123" customFormat="1" ht="25.5" customHeight="1" x14ac:dyDescent="0.25">
      <c r="A20" s="301"/>
      <c r="B20" s="299"/>
      <c r="C20" s="162"/>
      <c r="D20" s="236" t="str">
        <v>NA</v>
      </c>
      <c r="E20" s="237"/>
      <c r="F20" s="237"/>
      <c r="G20" s="238"/>
      <c r="H20" s="238"/>
      <c r="I20" s="239" t="str">
        <v>NA</v>
      </c>
      <c r="J20" s="239" t="str">
        <v>NA</v>
      </c>
      <c r="K20" s="177"/>
      <c r="L20" s="177"/>
      <c r="M20" s="177"/>
      <c r="N20" s="177"/>
      <c r="O20" s="181"/>
      <c r="P20" s="107" t="b">
        <v>0</v>
      </c>
      <c r="Q20" s="245"/>
      <c r="R20" s="124"/>
      <c r="S20" s="124"/>
      <c r="T20" s="109" t="str">
        <v>NA</v>
      </c>
      <c r="U20" s="110" t="str">
        <v>NA</v>
      </c>
      <c r="V20" s="111">
        <v>0</v>
      </c>
      <c r="W20" s="109" t="str">
        <v>NA</v>
      </c>
      <c r="X20" s="112">
        <v>0</v>
      </c>
      <c r="Y20" s="113" t="e">
        <v>#DIV/0!</v>
      </c>
      <c r="Z20" s="109" t="str">
        <v>NA</v>
      </c>
      <c r="AA20" s="112">
        <v>0</v>
      </c>
      <c r="AB20" s="111">
        <v>0</v>
      </c>
      <c r="AC20" s="109" t="str">
        <v>NA</v>
      </c>
      <c r="AD20" s="114">
        <v>0</v>
      </c>
      <c r="AE20" s="113">
        <v>10</v>
      </c>
      <c r="AF20" s="109" t="str">
        <v>NA</v>
      </c>
      <c r="AG20" s="114">
        <v>0</v>
      </c>
      <c r="AH20" s="113">
        <v>10</v>
      </c>
      <c r="AI20" s="109" t="str">
        <v>NA</v>
      </c>
      <c r="AJ20" s="112">
        <v>0</v>
      </c>
      <c r="AK20" s="113">
        <v>4</v>
      </c>
      <c r="AL20" s="109" t="str">
        <v>NA</v>
      </c>
      <c r="AM20" s="112">
        <v>0</v>
      </c>
      <c r="AN20" s="113">
        <v>4</v>
      </c>
      <c r="AO20" s="109" t="str">
        <v>NA</v>
      </c>
      <c r="AP20" s="115" t="str">
        <v>NA</v>
      </c>
      <c r="AQ20" s="113">
        <v>0</v>
      </c>
      <c r="AR20" s="109" t="str">
        <v>NA</v>
      </c>
      <c r="AS20" s="115" t="str">
        <v>NA</v>
      </c>
      <c r="AT20" s="113">
        <v>0</v>
      </c>
      <c r="AU20" s="116" t="str">
        <v>NA</v>
      </c>
      <c r="AV20" s="117" t="str">
        <v>NA</v>
      </c>
      <c r="AW20" s="118">
        <v>0</v>
      </c>
      <c r="AX20" s="119">
        <v>0</v>
      </c>
      <c r="AY20" s="120">
        <v>0</v>
      </c>
      <c r="AZ20" s="121" t="str">
        <v>Critère Manuel trop grand</v>
      </c>
      <c r="BA20" s="221" t="str">
        <v>NA</v>
      </c>
      <c r="BB20" s="222" t="str">
        <v>NA</v>
      </c>
      <c r="BC20" s="223">
        <v>0</v>
      </c>
      <c r="BD20" s="224">
        <v>0</v>
      </c>
      <c r="BE20" s="225">
        <v>0</v>
      </c>
      <c r="BF20" s="226" t="str">
        <v>Critère Manuel trop grand</v>
      </c>
      <c r="BG20" s="221" t="str">
        <v>NA</v>
      </c>
      <c r="BH20" s="222" t="str">
        <v>NA</v>
      </c>
      <c r="BI20" s="223">
        <v>0</v>
      </c>
      <c r="BJ20" s="224">
        <v>0</v>
      </c>
      <c r="BK20" s="225">
        <v>0</v>
      </c>
      <c r="BL20" s="226" t="str">
        <v>Critère Manuel trop grand</v>
      </c>
      <c r="BM20" s="221" t="str">
        <v>NA</v>
      </c>
      <c r="BN20" s="222" t="str">
        <v>NA</v>
      </c>
      <c r="BO20" s="223">
        <v>0</v>
      </c>
      <c r="BP20" s="224">
        <v>0</v>
      </c>
      <c r="BQ20" s="225">
        <v>0</v>
      </c>
      <c r="BR20" s="226" t="str">
        <v>Critère Manuel trop grand</v>
      </c>
      <c r="BS20" s="221" t="str">
        <v>NA</v>
      </c>
      <c r="BT20" s="222" t="str">
        <v>NA</v>
      </c>
      <c r="BU20" s="223">
        <v>0</v>
      </c>
      <c r="BV20" s="224">
        <v>0</v>
      </c>
      <c r="BW20" s="225">
        <v>0</v>
      </c>
      <c r="BX20" s="226" t="str">
        <v>Critère Manuel trop grand</v>
      </c>
      <c r="BY20" s="187" t="str">
        <v>NA</v>
      </c>
      <c r="BZ20" s="125" t="str">
        <v/>
      </c>
    </row>
    <row r="21" spans="1:78" s="123" customFormat="1" ht="25.5" x14ac:dyDescent="0.25">
      <c r="A21" s="301"/>
      <c r="B21" s="299"/>
      <c r="C21" s="162"/>
      <c r="D21" s="236" t="str">
        <v>NA</v>
      </c>
      <c r="E21" s="237"/>
      <c r="F21" s="237"/>
      <c r="G21" s="238"/>
      <c r="H21" s="238"/>
      <c r="I21" s="239" t="str">
        <v>NA</v>
      </c>
      <c r="J21" s="239" t="str">
        <v>NA</v>
      </c>
      <c r="K21" s="177"/>
      <c r="L21" s="177"/>
      <c r="M21" s="177"/>
      <c r="N21" s="177"/>
      <c r="O21" s="181"/>
      <c r="P21" s="107" t="b">
        <v>0</v>
      </c>
      <c r="Q21" s="245"/>
      <c r="R21" s="124"/>
      <c r="S21" s="124"/>
      <c r="T21" s="109" t="str">
        <v>NA</v>
      </c>
      <c r="U21" s="110" t="str">
        <v>NA</v>
      </c>
      <c r="V21" s="111">
        <v>0</v>
      </c>
      <c r="W21" s="109" t="str">
        <v>NA</v>
      </c>
      <c r="X21" s="112">
        <v>0</v>
      </c>
      <c r="Y21" s="113" t="e">
        <v>#DIV/0!</v>
      </c>
      <c r="Z21" s="109" t="str">
        <v>NA</v>
      </c>
      <c r="AA21" s="112">
        <v>0</v>
      </c>
      <c r="AB21" s="111">
        <v>0</v>
      </c>
      <c r="AC21" s="109" t="str">
        <v>NA</v>
      </c>
      <c r="AD21" s="114">
        <v>0</v>
      </c>
      <c r="AE21" s="113">
        <v>10</v>
      </c>
      <c r="AF21" s="109" t="str">
        <v>NA</v>
      </c>
      <c r="AG21" s="114">
        <v>0</v>
      </c>
      <c r="AH21" s="113">
        <v>10</v>
      </c>
      <c r="AI21" s="109" t="str">
        <v>NA</v>
      </c>
      <c r="AJ21" s="112">
        <v>0</v>
      </c>
      <c r="AK21" s="113">
        <v>4</v>
      </c>
      <c r="AL21" s="109" t="str">
        <v>NA</v>
      </c>
      <c r="AM21" s="112">
        <v>0</v>
      </c>
      <c r="AN21" s="113">
        <v>4</v>
      </c>
      <c r="AO21" s="109" t="str">
        <v>NA</v>
      </c>
      <c r="AP21" s="115" t="str">
        <v>NA</v>
      </c>
      <c r="AQ21" s="113">
        <v>0</v>
      </c>
      <c r="AR21" s="109" t="str">
        <v>NA</v>
      </c>
      <c r="AS21" s="115" t="str">
        <v>NA</v>
      </c>
      <c r="AT21" s="113">
        <v>0</v>
      </c>
      <c r="AU21" s="116" t="str">
        <v>NA</v>
      </c>
      <c r="AV21" s="117" t="str">
        <v>NA</v>
      </c>
      <c r="AW21" s="118">
        <v>0</v>
      </c>
      <c r="AX21" s="119">
        <v>0</v>
      </c>
      <c r="AY21" s="120">
        <v>0</v>
      </c>
      <c r="AZ21" s="121" t="str">
        <v>Critère Manuel trop grand</v>
      </c>
      <c r="BA21" s="221" t="str">
        <v>NA</v>
      </c>
      <c r="BB21" s="222" t="str">
        <v>NA</v>
      </c>
      <c r="BC21" s="223">
        <v>0</v>
      </c>
      <c r="BD21" s="224">
        <v>0</v>
      </c>
      <c r="BE21" s="225">
        <v>0</v>
      </c>
      <c r="BF21" s="226" t="str">
        <v>Critère Manuel trop grand</v>
      </c>
      <c r="BG21" s="221" t="str">
        <v>NA</v>
      </c>
      <c r="BH21" s="222" t="str">
        <v>NA</v>
      </c>
      <c r="BI21" s="223">
        <v>0</v>
      </c>
      <c r="BJ21" s="224">
        <v>0</v>
      </c>
      <c r="BK21" s="225">
        <v>0</v>
      </c>
      <c r="BL21" s="226" t="str">
        <v>Critère Manuel trop grand</v>
      </c>
      <c r="BM21" s="221" t="str">
        <v>NA</v>
      </c>
      <c r="BN21" s="222" t="str">
        <v>NA</v>
      </c>
      <c r="BO21" s="223">
        <v>0</v>
      </c>
      <c r="BP21" s="224">
        <v>0</v>
      </c>
      <c r="BQ21" s="225">
        <v>0</v>
      </c>
      <c r="BR21" s="226" t="str">
        <v>Critère Manuel trop grand</v>
      </c>
      <c r="BS21" s="221" t="str">
        <v>NA</v>
      </c>
      <c r="BT21" s="222" t="str">
        <v>NA</v>
      </c>
      <c r="BU21" s="223">
        <v>0</v>
      </c>
      <c r="BV21" s="224">
        <v>0</v>
      </c>
      <c r="BW21" s="225">
        <v>0</v>
      </c>
      <c r="BX21" s="226" t="str">
        <v>Critère Manuel trop grand</v>
      </c>
      <c r="BY21" s="187" t="str">
        <v>NA</v>
      </c>
      <c r="BZ21" s="125" t="str">
        <v/>
      </c>
    </row>
    <row r="22" spans="1:78" s="123" customFormat="1" ht="25.5" x14ac:dyDescent="0.25">
      <c r="A22" s="301"/>
      <c r="B22" s="299"/>
      <c r="C22" s="162"/>
      <c r="D22" s="236" t="str">
        <v>NA</v>
      </c>
      <c r="E22" s="237"/>
      <c r="F22" s="237"/>
      <c r="G22" s="238"/>
      <c r="H22" s="238"/>
      <c r="I22" s="239" t="str">
        <v>NA</v>
      </c>
      <c r="J22" s="239" t="str">
        <v>NA</v>
      </c>
      <c r="K22" s="177"/>
      <c r="L22" s="177"/>
      <c r="M22" s="177"/>
      <c r="N22" s="177"/>
      <c r="O22" s="181"/>
      <c r="P22" s="107" t="b">
        <v>0</v>
      </c>
      <c r="Q22" s="245"/>
      <c r="R22" s="124"/>
      <c r="S22" s="124"/>
      <c r="T22" s="109" t="str">
        <v>NA</v>
      </c>
      <c r="U22" s="110" t="str">
        <v>NA</v>
      </c>
      <c r="V22" s="111">
        <v>0</v>
      </c>
      <c r="W22" s="109" t="str">
        <v>NA</v>
      </c>
      <c r="X22" s="112">
        <v>0</v>
      </c>
      <c r="Y22" s="113" t="e">
        <v>#DIV/0!</v>
      </c>
      <c r="Z22" s="109" t="str">
        <v>NA</v>
      </c>
      <c r="AA22" s="112">
        <v>0</v>
      </c>
      <c r="AB22" s="111">
        <v>0</v>
      </c>
      <c r="AC22" s="109" t="str">
        <v>NA</v>
      </c>
      <c r="AD22" s="114">
        <v>0</v>
      </c>
      <c r="AE22" s="113">
        <v>10</v>
      </c>
      <c r="AF22" s="109" t="str">
        <v>NA</v>
      </c>
      <c r="AG22" s="114">
        <v>0</v>
      </c>
      <c r="AH22" s="113">
        <v>10</v>
      </c>
      <c r="AI22" s="109" t="str">
        <v>NA</v>
      </c>
      <c r="AJ22" s="112">
        <v>0</v>
      </c>
      <c r="AK22" s="113">
        <v>4</v>
      </c>
      <c r="AL22" s="109" t="str">
        <v>NA</v>
      </c>
      <c r="AM22" s="112">
        <v>0</v>
      </c>
      <c r="AN22" s="113">
        <v>4</v>
      </c>
      <c r="AO22" s="109" t="str">
        <v>NA</v>
      </c>
      <c r="AP22" s="115" t="str">
        <v>NA</v>
      </c>
      <c r="AQ22" s="113">
        <v>0</v>
      </c>
      <c r="AR22" s="109" t="str">
        <v>NA</v>
      </c>
      <c r="AS22" s="115" t="str">
        <v>NA</v>
      </c>
      <c r="AT22" s="113">
        <v>0</v>
      </c>
      <c r="AU22" s="116" t="str">
        <v>NA</v>
      </c>
      <c r="AV22" s="117" t="str">
        <v>NA</v>
      </c>
      <c r="AW22" s="118">
        <v>0</v>
      </c>
      <c r="AX22" s="119">
        <v>0</v>
      </c>
      <c r="AY22" s="120">
        <v>0</v>
      </c>
      <c r="AZ22" s="121" t="str">
        <v>Critère Manuel trop grand</v>
      </c>
      <c r="BA22" s="221" t="str">
        <v>NA</v>
      </c>
      <c r="BB22" s="222" t="str">
        <v>NA</v>
      </c>
      <c r="BC22" s="223">
        <v>0</v>
      </c>
      <c r="BD22" s="224">
        <v>0</v>
      </c>
      <c r="BE22" s="225">
        <v>0</v>
      </c>
      <c r="BF22" s="226" t="str">
        <v>Critère Manuel trop grand</v>
      </c>
      <c r="BG22" s="221" t="str">
        <v>NA</v>
      </c>
      <c r="BH22" s="222" t="str">
        <v>NA</v>
      </c>
      <c r="BI22" s="223">
        <v>0</v>
      </c>
      <c r="BJ22" s="224">
        <v>0</v>
      </c>
      <c r="BK22" s="225">
        <v>0</v>
      </c>
      <c r="BL22" s="226" t="str">
        <v>Critère Manuel trop grand</v>
      </c>
      <c r="BM22" s="221" t="str">
        <v>NA</v>
      </c>
      <c r="BN22" s="222" t="str">
        <v>NA</v>
      </c>
      <c r="BO22" s="223">
        <v>0</v>
      </c>
      <c r="BP22" s="224">
        <v>0</v>
      </c>
      <c r="BQ22" s="225">
        <v>0</v>
      </c>
      <c r="BR22" s="226" t="str">
        <v>Critère Manuel trop grand</v>
      </c>
      <c r="BS22" s="221" t="str">
        <v>NA</v>
      </c>
      <c r="BT22" s="222" t="str">
        <v>NA</v>
      </c>
      <c r="BU22" s="223">
        <v>0</v>
      </c>
      <c r="BV22" s="224">
        <v>0</v>
      </c>
      <c r="BW22" s="225">
        <v>0</v>
      </c>
      <c r="BX22" s="226" t="str">
        <v>Critère Manuel trop grand</v>
      </c>
      <c r="BY22" s="187" t="str">
        <v>NA</v>
      </c>
      <c r="BZ22" s="125" t="str">
        <v/>
      </c>
    </row>
    <row r="23" spans="1:78" s="123" customFormat="1" ht="25.5" x14ac:dyDescent="0.25">
      <c r="A23" s="301"/>
      <c r="B23" s="299"/>
      <c r="C23" s="162"/>
      <c r="D23" s="236" t="str">
        <v>NA</v>
      </c>
      <c r="E23" s="237"/>
      <c r="F23" s="237"/>
      <c r="G23" s="238"/>
      <c r="H23" s="238"/>
      <c r="I23" s="239" t="str">
        <v>NA</v>
      </c>
      <c r="J23" s="239" t="str">
        <v>NA</v>
      </c>
      <c r="K23" s="177"/>
      <c r="L23" s="177"/>
      <c r="M23" s="177"/>
      <c r="N23" s="177"/>
      <c r="O23" s="181"/>
      <c r="P23" s="107" t="b">
        <v>0</v>
      </c>
      <c r="Q23" s="245"/>
      <c r="R23" s="124"/>
      <c r="S23" s="124"/>
      <c r="T23" s="109" t="str">
        <v>NA</v>
      </c>
      <c r="U23" s="110" t="str">
        <v>NA</v>
      </c>
      <c r="V23" s="111">
        <v>0</v>
      </c>
      <c r="W23" s="109" t="str">
        <v>NA</v>
      </c>
      <c r="X23" s="112">
        <v>0</v>
      </c>
      <c r="Y23" s="113" t="e">
        <v>#DIV/0!</v>
      </c>
      <c r="Z23" s="109" t="str">
        <v>NA</v>
      </c>
      <c r="AA23" s="112">
        <v>0</v>
      </c>
      <c r="AB23" s="111">
        <v>0</v>
      </c>
      <c r="AC23" s="109" t="str">
        <v>NA</v>
      </c>
      <c r="AD23" s="114">
        <v>0</v>
      </c>
      <c r="AE23" s="113">
        <v>10</v>
      </c>
      <c r="AF23" s="109" t="str">
        <v>NA</v>
      </c>
      <c r="AG23" s="114">
        <v>0</v>
      </c>
      <c r="AH23" s="113">
        <v>10</v>
      </c>
      <c r="AI23" s="109" t="str">
        <v>NA</v>
      </c>
      <c r="AJ23" s="112">
        <v>0</v>
      </c>
      <c r="AK23" s="113">
        <v>4</v>
      </c>
      <c r="AL23" s="109" t="str">
        <v>NA</v>
      </c>
      <c r="AM23" s="112">
        <v>0</v>
      </c>
      <c r="AN23" s="113">
        <v>4</v>
      </c>
      <c r="AO23" s="109" t="str">
        <v>NA</v>
      </c>
      <c r="AP23" s="115" t="str">
        <v>NA</v>
      </c>
      <c r="AQ23" s="113">
        <v>0</v>
      </c>
      <c r="AR23" s="109" t="str">
        <v>NA</v>
      </c>
      <c r="AS23" s="115" t="str">
        <v>NA</v>
      </c>
      <c r="AT23" s="113">
        <v>0</v>
      </c>
      <c r="AU23" s="116" t="str">
        <v>NA</v>
      </c>
      <c r="AV23" s="117" t="str">
        <v>NA</v>
      </c>
      <c r="AW23" s="118">
        <v>0</v>
      </c>
      <c r="AX23" s="119">
        <v>0</v>
      </c>
      <c r="AY23" s="120">
        <v>0</v>
      </c>
      <c r="AZ23" s="121" t="str">
        <v>Critère Manuel trop grand</v>
      </c>
      <c r="BA23" s="221" t="str">
        <v>NA</v>
      </c>
      <c r="BB23" s="222" t="str">
        <v>NA</v>
      </c>
      <c r="BC23" s="223">
        <v>0</v>
      </c>
      <c r="BD23" s="224">
        <v>0</v>
      </c>
      <c r="BE23" s="225">
        <v>0</v>
      </c>
      <c r="BF23" s="226" t="str">
        <v>Critère Manuel trop grand</v>
      </c>
      <c r="BG23" s="221" t="str">
        <v>NA</v>
      </c>
      <c r="BH23" s="222" t="str">
        <v>NA</v>
      </c>
      <c r="BI23" s="223">
        <v>0</v>
      </c>
      <c r="BJ23" s="224">
        <v>0</v>
      </c>
      <c r="BK23" s="225">
        <v>0</v>
      </c>
      <c r="BL23" s="226" t="str">
        <v>Critère Manuel trop grand</v>
      </c>
      <c r="BM23" s="221" t="str">
        <v>NA</v>
      </c>
      <c r="BN23" s="222" t="str">
        <v>NA</v>
      </c>
      <c r="BO23" s="223">
        <v>0</v>
      </c>
      <c r="BP23" s="224">
        <v>0</v>
      </c>
      <c r="BQ23" s="225">
        <v>0</v>
      </c>
      <c r="BR23" s="226" t="str">
        <v>Critère Manuel trop grand</v>
      </c>
      <c r="BS23" s="221" t="str">
        <v>NA</v>
      </c>
      <c r="BT23" s="222" t="str">
        <v>NA</v>
      </c>
      <c r="BU23" s="223">
        <v>0</v>
      </c>
      <c r="BV23" s="224">
        <v>0</v>
      </c>
      <c r="BW23" s="225">
        <v>0</v>
      </c>
      <c r="BX23" s="226" t="str">
        <v>Critère Manuel trop grand</v>
      </c>
      <c r="BY23" s="187" t="str">
        <v>NA</v>
      </c>
      <c r="BZ23" s="125" t="str">
        <v/>
      </c>
    </row>
    <row r="24" spans="1:78" s="123" customFormat="1" ht="25.5" x14ac:dyDescent="0.25">
      <c r="A24" s="301"/>
      <c r="B24" s="299"/>
      <c r="C24" s="162"/>
      <c r="D24" s="236" t="str">
        <v>NA</v>
      </c>
      <c r="E24" s="237"/>
      <c r="F24" s="237"/>
      <c r="G24" s="238"/>
      <c r="H24" s="238"/>
      <c r="I24" s="239" t="str">
        <v>NA</v>
      </c>
      <c r="J24" s="239" t="str">
        <v>NA</v>
      </c>
      <c r="K24" s="177"/>
      <c r="L24" s="177"/>
      <c r="M24" s="177"/>
      <c r="N24" s="177"/>
      <c r="O24" s="181"/>
      <c r="P24" s="107" t="b">
        <v>0</v>
      </c>
      <c r="Q24" s="245"/>
      <c r="R24" s="124"/>
      <c r="S24" s="124"/>
      <c r="T24" s="109" t="str">
        <v>NA</v>
      </c>
      <c r="U24" s="110" t="str">
        <v>NA</v>
      </c>
      <c r="V24" s="111">
        <v>0</v>
      </c>
      <c r="W24" s="109" t="str">
        <v>NA</v>
      </c>
      <c r="X24" s="112">
        <v>0</v>
      </c>
      <c r="Y24" s="113" t="e">
        <v>#DIV/0!</v>
      </c>
      <c r="Z24" s="109" t="str">
        <v>NA</v>
      </c>
      <c r="AA24" s="112">
        <v>0</v>
      </c>
      <c r="AB24" s="111">
        <v>0</v>
      </c>
      <c r="AC24" s="109" t="str">
        <v>NA</v>
      </c>
      <c r="AD24" s="114">
        <v>0</v>
      </c>
      <c r="AE24" s="113">
        <v>10</v>
      </c>
      <c r="AF24" s="109" t="str">
        <v>NA</v>
      </c>
      <c r="AG24" s="114">
        <v>0</v>
      </c>
      <c r="AH24" s="113">
        <v>10</v>
      </c>
      <c r="AI24" s="109" t="str">
        <v>NA</v>
      </c>
      <c r="AJ24" s="112">
        <v>0</v>
      </c>
      <c r="AK24" s="113">
        <v>4</v>
      </c>
      <c r="AL24" s="109" t="str">
        <v>NA</v>
      </c>
      <c r="AM24" s="112">
        <v>0</v>
      </c>
      <c r="AN24" s="113">
        <v>4</v>
      </c>
      <c r="AO24" s="109" t="str">
        <v>NA</v>
      </c>
      <c r="AP24" s="115" t="str">
        <v>NA</v>
      </c>
      <c r="AQ24" s="113">
        <v>0</v>
      </c>
      <c r="AR24" s="109" t="str">
        <v>NA</v>
      </c>
      <c r="AS24" s="115" t="str">
        <v>NA</v>
      </c>
      <c r="AT24" s="113">
        <v>0</v>
      </c>
      <c r="AU24" s="116" t="str">
        <v>NA</v>
      </c>
      <c r="AV24" s="117" t="str">
        <v>NA</v>
      </c>
      <c r="AW24" s="118">
        <v>0</v>
      </c>
      <c r="AX24" s="119">
        <v>0</v>
      </c>
      <c r="AY24" s="120">
        <v>0</v>
      </c>
      <c r="AZ24" s="121" t="str">
        <v>Critère Manuel trop grand</v>
      </c>
      <c r="BA24" s="221" t="str">
        <v>NA</v>
      </c>
      <c r="BB24" s="222" t="str">
        <v>NA</v>
      </c>
      <c r="BC24" s="223">
        <v>0</v>
      </c>
      <c r="BD24" s="224">
        <v>0</v>
      </c>
      <c r="BE24" s="225">
        <v>0</v>
      </c>
      <c r="BF24" s="226" t="str">
        <v>Critère Manuel trop grand</v>
      </c>
      <c r="BG24" s="221" t="str">
        <v>NA</v>
      </c>
      <c r="BH24" s="222" t="str">
        <v>NA</v>
      </c>
      <c r="BI24" s="223">
        <v>0</v>
      </c>
      <c r="BJ24" s="224">
        <v>0</v>
      </c>
      <c r="BK24" s="225">
        <v>0</v>
      </c>
      <c r="BL24" s="226" t="str">
        <v>Critère Manuel trop grand</v>
      </c>
      <c r="BM24" s="221" t="str">
        <v>NA</v>
      </c>
      <c r="BN24" s="222" t="str">
        <v>NA</v>
      </c>
      <c r="BO24" s="223">
        <v>0</v>
      </c>
      <c r="BP24" s="224">
        <v>0</v>
      </c>
      <c r="BQ24" s="225">
        <v>0</v>
      </c>
      <c r="BR24" s="226" t="str">
        <v>Critère Manuel trop grand</v>
      </c>
      <c r="BS24" s="221" t="str">
        <v>NA</v>
      </c>
      <c r="BT24" s="222" t="str">
        <v>NA</v>
      </c>
      <c r="BU24" s="223">
        <v>0</v>
      </c>
      <c r="BV24" s="224">
        <v>0</v>
      </c>
      <c r="BW24" s="225">
        <v>0</v>
      </c>
      <c r="BX24" s="226" t="str">
        <v>Critère Manuel trop grand</v>
      </c>
      <c r="BY24" s="187" t="str">
        <v>NA</v>
      </c>
      <c r="BZ24" s="125" t="str">
        <v/>
      </c>
    </row>
    <row r="25" spans="1:78" s="123" customFormat="1" ht="25.5" x14ac:dyDescent="0.25">
      <c r="A25" s="301"/>
      <c r="B25" s="299"/>
      <c r="C25" s="162"/>
      <c r="D25" s="236" t="str">
        <v>NA</v>
      </c>
      <c r="E25" s="237"/>
      <c r="F25" s="237"/>
      <c r="G25" s="238"/>
      <c r="H25" s="238"/>
      <c r="I25" s="239" t="str">
        <v>NA</v>
      </c>
      <c r="J25" s="239" t="str">
        <v>NA</v>
      </c>
      <c r="K25" s="177"/>
      <c r="L25" s="177"/>
      <c r="M25" s="177"/>
      <c r="N25" s="177"/>
      <c r="O25" s="181"/>
      <c r="P25" s="107" t="b">
        <v>0</v>
      </c>
      <c r="Q25" s="245"/>
      <c r="R25" s="124"/>
      <c r="S25" s="124"/>
      <c r="T25" s="109" t="str">
        <v>NA</v>
      </c>
      <c r="U25" s="110" t="str">
        <v>NA</v>
      </c>
      <c r="V25" s="111">
        <v>0</v>
      </c>
      <c r="W25" s="109" t="str">
        <v>NA</v>
      </c>
      <c r="X25" s="112">
        <v>0</v>
      </c>
      <c r="Y25" s="113" t="e">
        <v>#DIV/0!</v>
      </c>
      <c r="Z25" s="109" t="str">
        <v>NA</v>
      </c>
      <c r="AA25" s="112">
        <v>0</v>
      </c>
      <c r="AB25" s="111">
        <v>0</v>
      </c>
      <c r="AC25" s="109" t="str">
        <v>NA</v>
      </c>
      <c r="AD25" s="114">
        <v>0</v>
      </c>
      <c r="AE25" s="113">
        <v>10</v>
      </c>
      <c r="AF25" s="109" t="str">
        <v>NA</v>
      </c>
      <c r="AG25" s="114">
        <v>0</v>
      </c>
      <c r="AH25" s="113">
        <v>10</v>
      </c>
      <c r="AI25" s="109" t="str">
        <v>NA</v>
      </c>
      <c r="AJ25" s="112">
        <v>0</v>
      </c>
      <c r="AK25" s="113">
        <v>4</v>
      </c>
      <c r="AL25" s="109" t="str">
        <v>NA</v>
      </c>
      <c r="AM25" s="112">
        <v>0</v>
      </c>
      <c r="AN25" s="113">
        <v>4</v>
      </c>
      <c r="AO25" s="109" t="str">
        <v>NA</v>
      </c>
      <c r="AP25" s="115" t="str">
        <v>NA</v>
      </c>
      <c r="AQ25" s="113">
        <v>0</v>
      </c>
      <c r="AR25" s="109" t="str">
        <v>NA</v>
      </c>
      <c r="AS25" s="115" t="str">
        <v>NA</v>
      </c>
      <c r="AT25" s="113">
        <v>0</v>
      </c>
      <c r="AU25" s="116" t="str">
        <v>NA</v>
      </c>
      <c r="AV25" s="117" t="str">
        <v>NA</v>
      </c>
      <c r="AW25" s="118">
        <v>0</v>
      </c>
      <c r="AX25" s="119">
        <v>0</v>
      </c>
      <c r="AY25" s="120">
        <v>0</v>
      </c>
      <c r="AZ25" s="121" t="str">
        <v>Critère Manuel trop grand</v>
      </c>
      <c r="BA25" s="221" t="str">
        <v>NA</v>
      </c>
      <c r="BB25" s="222" t="str">
        <v>NA</v>
      </c>
      <c r="BC25" s="223">
        <v>0</v>
      </c>
      <c r="BD25" s="224">
        <v>0</v>
      </c>
      <c r="BE25" s="225">
        <v>0</v>
      </c>
      <c r="BF25" s="226" t="str">
        <v>Critère Manuel trop grand</v>
      </c>
      <c r="BG25" s="221" t="str">
        <v>NA</v>
      </c>
      <c r="BH25" s="222" t="str">
        <v>NA</v>
      </c>
      <c r="BI25" s="223">
        <v>0</v>
      </c>
      <c r="BJ25" s="224">
        <v>0</v>
      </c>
      <c r="BK25" s="225">
        <v>0</v>
      </c>
      <c r="BL25" s="226" t="str">
        <v>Critère Manuel trop grand</v>
      </c>
      <c r="BM25" s="221" t="str">
        <v>NA</v>
      </c>
      <c r="BN25" s="222" t="str">
        <v>NA</v>
      </c>
      <c r="BO25" s="223">
        <v>0</v>
      </c>
      <c r="BP25" s="224">
        <v>0</v>
      </c>
      <c r="BQ25" s="225">
        <v>0</v>
      </c>
      <c r="BR25" s="226" t="str">
        <v>Critère Manuel trop grand</v>
      </c>
      <c r="BS25" s="221" t="str">
        <v>NA</v>
      </c>
      <c r="BT25" s="222" t="str">
        <v>NA</v>
      </c>
      <c r="BU25" s="223">
        <v>0</v>
      </c>
      <c r="BV25" s="224">
        <v>0</v>
      </c>
      <c r="BW25" s="225">
        <v>0</v>
      </c>
      <c r="BX25" s="226" t="str">
        <v>Critère Manuel trop grand</v>
      </c>
      <c r="BY25" s="187" t="str">
        <v>NA</v>
      </c>
      <c r="BZ25" s="125" t="str">
        <v/>
      </c>
    </row>
    <row r="26" spans="1:78" s="123" customFormat="1" ht="25.5" x14ac:dyDescent="0.25">
      <c r="A26" s="301"/>
      <c r="B26" s="299"/>
      <c r="C26" s="162"/>
      <c r="D26" s="236" t="str">
        <v>NA</v>
      </c>
      <c r="E26" s="237"/>
      <c r="F26" s="237"/>
      <c r="G26" s="238"/>
      <c r="H26" s="238"/>
      <c r="I26" s="239" t="str">
        <v>NA</v>
      </c>
      <c r="J26" s="239" t="str">
        <v>NA</v>
      </c>
      <c r="K26" s="177"/>
      <c r="L26" s="177"/>
      <c r="M26" s="177"/>
      <c r="N26" s="177"/>
      <c r="O26" s="181"/>
      <c r="P26" s="107" t="b">
        <v>0</v>
      </c>
      <c r="Q26" s="245"/>
      <c r="R26" s="124"/>
      <c r="S26" s="124"/>
      <c r="T26" s="109" t="str">
        <v>NA</v>
      </c>
      <c r="U26" s="110" t="str">
        <v>NA</v>
      </c>
      <c r="V26" s="111">
        <v>0</v>
      </c>
      <c r="W26" s="109" t="str">
        <v>NA</v>
      </c>
      <c r="X26" s="112">
        <v>0</v>
      </c>
      <c r="Y26" s="113" t="e">
        <v>#DIV/0!</v>
      </c>
      <c r="Z26" s="109" t="str">
        <v>NA</v>
      </c>
      <c r="AA26" s="112">
        <v>0</v>
      </c>
      <c r="AB26" s="111">
        <v>0</v>
      </c>
      <c r="AC26" s="109" t="str">
        <v>NA</v>
      </c>
      <c r="AD26" s="114">
        <v>0</v>
      </c>
      <c r="AE26" s="113">
        <v>10</v>
      </c>
      <c r="AF26" s="109" t="str">
        <v>NA</v>
      </c>
      <c r="AG26" s="114">
        <v>0</v>
      </c>
      <c r="AH26" s="113">
        <v>10</v>
      </c>
      <c r="AI26" s="109" t="str">
        <v>NA</v>
      </c>
      <c r="AJ26" s="112">
        <v>0</v>
      </c>
      <c r="AK26" s="113">
        <v>4</v>
      </c>
      <c r="AL26" s="109" t="str">
        <v>NA</v>
      </c>
      <c r="AM26" s="112">
        <v>0</v>
      </c>
      <c r="AN26" s="113">
        <v>4</v>
      </c>
      <c r="AO26" s="109" t="str">
        <v>NA</v>
      </c>
      <c r="AP26" s="115" t="str">
        <v>NA</v>
      </c>
      <c r="AQ26" s="113">
        <v>0</v>
      </c>
      <c r="AR26" s="109" t="str">
        <v>NA</v>
      </c>
      <c r="AS26" s="115" t="str">
        <v>NA</v>
      </c>
      <c r="AT26" s="113">
        <v>0</v>
      </c>
      <c r="AU26" s="116" t="str">
        <v>NA</v>
      </c>
      <c r="AV26" s="117" t="str">
        <v>NA</v>
      </c>
      <c r="AW26" s="118">
        <v>0</v>
      </c>
      <c r="AX26" s="119">
        <v>0</v>
      </c>
      <c r="AY26" s="120">
        <v>0</v>
      </c>
      <c r="AZ26" s="121" t="str">
        <v>Critère Manuel trop grand</v>
      </c>
      <c r="BA26" s="221" t="str">
        <v>NA</v>
      </c>
      <c r="BB26" s="222" t="str">
        <v>NA</v>
      </c>
      <c r="BC26" s="223">
        <v>0</v>
      </c>
      <c r="BD26" s="224">
        <v>0</v>
      </c>
      <c r="BE26" s="225">
        <v>0</v>
      </c>
      <c r="BF26" s="226" t="str">
        <v>Critère Manuel trop grand</v>
      </c>
      <c r="BG26" s="221" t="str">
        <v>NA</v>
      </c>
      <c r="BH26" s="222" t="str">
        <v>NA</v>
      </c>
      <c r="BI26" s="223">
        <v>0</v>
      </c>
      <c r="BJ26" s="224">
        <v>0</v>
      </c>
      <c r="BK26" s="225">
        <v>0</v>
      </c>
      <c r="BL26" s="226" t="str">
        <v>Critère Manuel trop grand</v>
      </c>
      <c r="BM26" s="221" t="str">
        <v>NA</v>
      </c>
      <c r="BN26" s="222" t="str">
        <v>NA</v>
      </c>
      <c r="BO26" s="223">
        <v>0</v>
      </c>
      <c r="BP26" s="224">
        <v>0</v>
      </c>
      <c r="BQ26" s="225">
        <v>0</v>
      </c>
      <c r="BR26" s="226" t="str">
        <v>Critère Manuel trop grand</v>
      </c>
      <c r="BS26" s="221" t="str">
        <v>NA</v>
      </c>
      <c r="BT26" s="222" t="str">
        <v>NA</v>
      </c>
      <c r="BU26" s="223">
        <v>0</v>
      </c>
      <c r="BV26" s="224">
        <v>0</v>
      </c>
      <c r="BW26" s="225">
        <v>0</v>
      </c>
      <c r="BX26" s="226" t="str">
        <v>Critère Manuel trop grand</v>
      </c>
      <c r="BY26" s="187" t="str">
        <v>NA</v>
      </c>
      <c r="BZ26" s="125" t="str">
        <v/>
      </c>
    </row>
    <row r="27" spans="1:78" s="123" customFormat="1" ht="25.5" x14ac:dyDescent="0.25">
      <c r="A27" s="301"/>
      <c r="B27" s="299"/>
      <c r="C27" s="162"/>
      <c r="D27" s="236" t="str">
        <v>NA</v>
      </c>
      <c r="E27" s="237"/>
      <c r="F27" s="237"/>
      <c r="G27" s="238"/>
      <c r="H27" s="238"/>
      <c r="I27" s="239" t="str">
        <v>NA</v>
      </c>
      <c r="J27" s="239" t="str">
        <v>NA</v>
      </c>
      <c r="K27" s="177"/>
      <c r="L27" s="177"/>
      <c r="M27" s="177"/>
      <c r="N27" s="177"/>
      <c r="O27" s="181"/>
      <c r="P27" s="107" t="b">
        <v>0</v>
      </c>
      <c r="Q27" s="245"/>
      <c r="R27" s="124"/>
      <c r="S27" s="124"/>
      <c r="T27" s="109" t="str">
        <v>NA</v>
      </c>
      <c r="U27" s="110" t="str">
        <v>NA</v>
      </c>
      <c r="V27" s="111">
        <v>0</v>
      </c>
      <c r="W27" s="109" t="str">
        <v>NA</v>
      </c>
      <c r="X27" s="112">
        <v>0</v>
      </c>
      <c r="Y27" s="113" t="e">
        <v>#DIV/0!</v>
      </c>
      <c r="Z27" s="109" t="str">
        <v>NA</v>
      </c>
      <c r="AA27" s="112">
        <v>0</v>
      </c>
      <c r="AB27" s="111">
        <v>0</v>
      </c>
      <c r="AC27" s="109" t="str">
        <v>NA</v>
      </c>
      <c r="AD27" s="114">
        <v>0</v>
      </c>
      <c r="AE27" s="113">
        <v>10</v>
      </c>
      <c r="AF27" s="109" t="str">
        <v>NA</v>
      </c>
      <c r="AG27" s="114">
        <v>0</v>
      </c>
      <c r="AH27" s="113">
        <v>10</v>
      </c>
      <c r="AI27" s="109" t="str">
        <v>NA</v>
      </c>
      <c r="AJ27" s="112">
        <v>0</v>
      </c>
      <c r="AK27" s="113">
        <v>4</v>
      </c>
      <c r="AL27" s="109" t="str">
        <v>NA</v>
      </c>
      <c r="AM27" s="112">
        <v>0</v>
      </c>
      <c r="AN27" s="113">
        <v>4</v>
      </c>
      <c r="AO27" s="109" t="str">
        <v>NA</v>
      </c>
      <c r="AP27" s="115" t="str">
        <v>NA</v>
      </c>
      <c r="AQ27" s="113">
        <v>0</v>
      </c>
      <c r="AR27" s="109" t="str">
        <v>NA</v>
      </c>
      <c r="AS27" s="115" t="str">
        <v>NA</v>
      </c>
      <c r="AT27" s="113">
        <v>0</v>
      </c>
      <c r="AU27" s="116" t="str">
        <v>NA</v>
      </c>
      <c r="AV27" s="117" t="str">
        <v>NA</v>
      </c>
      <c r="AW27" s="118">
        <v>0</v>
      </c>
      <c r="AX27" s="119">
        <v>0</v>
      </c>
      <c r="AY27" s="120">
        <v>0</v>
      </c>
      <c r="AZ27" s="121" t="str">
        <v>Critère Manuel trop grand</v>
      </c>
      <c r="BA27" s="221" t="str">
        <v>NA</v>
      </c>
      <c r="BB27" s="222" t="str">
        <v>NA</v>
      </c>
      <c r="BC27" s="223">
        <v>0</v>
      </c>
      <c r="BD27" s="224">
        <v>0</v>
      </c>
      <c r="BE27" s="225">
        <v>0</v>
      </c>
      <c r="BF27" s="226" t="str">
        <v>Critère Manuel trop grand</v>
      </c>
      <c r="BG27" s="221" t="str">
        <v>NA</v>
      </c>
      <c r="BH27" s="222" t="str">
        <v>NA</v>
      </c>
      <c r="BI27" s="223">
        <v>0</v>
      </c>
      <c r="BJ27" s="224">
        <v>0</v>
      </c>
      <c r="BK27" s="225">
        <v>0</v>
      </c>
      <c r="BL27" s="226" t="str">
        <v>Critère Manuel trop grand</v>
      </c>
      <c r="BM27" s="221" t="str">
        <v>NA</v>
      </c>
      <c r="BN27" s="222" t="str">
        <v>NA</v>
      </c>
      <c r="BO27" s="223">
        <v>0</v>
      </c>
      <c r="BP27" s="224">
        <v>0</v>
      </c>
      <c r="BQ27" s="225">
        <v>0</v>
      </c>
      <c r="BR27" s="226" t="str">
        <v>Critère Manuel trop grand</v>
      </c>
      <c r="BS27" s="221" t="str">
        <v>NA</v>
      </c>
      <c r="BT27" s="222" t="str">
        <v>NA</v>
      </c>
      <c r="BU27" s="223">
        <v>0</v>
      </c>
      <c r="BV27" s="224">
        <v>0</v>
      </c>
      <c r="BW27" s="225">
        <v>0</v>
      </c>
      <c r="BX27" s="226" t="str">
        <v>Critère Manuel trop grand</v>
      </c>
      <c r="BY27" s="187" t="str">
        <v>NA</v>
      </c>
      <c r="BZ27" s="125" t="str">
        <v/>
      </c>
    </row>
    <row r="28" spans="1:78" s="123" customFormat="1" ht="25.5" x14ac:dyDescent="0.25">
      <c r="A28" s="301"/>
      <c r="B28" s="299"/>
      <c r="C28" s="162"/>
      <c r="D28" s="236" t="str">
        <v>NA</v>
      </c>
      <c r="E28" s="237"/>
      <c r="F28" s="237"/>
      <c r="G28" s="238"/>
      <c r="H28" s="238"/>
      <c r="I28" s="239" t="str">
        <v>NA</v>
      </c>
      <c r="J28" s="239" t="str">
        <v>NA</v>
      </c>
      <c r="K28" s="177"/>
      <c r="L28" s="177"/>
      <c r="M28" s="177"/>
      <c r="N28" s="177"/>
      <c r="O28" s="181"/>
      <c r="P28" s="107" t="b">
        <v>0</v>
      </c>
      <c r="Q28" s="245"/>
      <c r="R28" s="124"/>
      <c r="S28" s="124"/>
      <c r="T28" s="109" t="str">
        <v>NA</v>
      </c>
      <c r="U28" s="110" t="str">
        <v>NA</v>
      </c>
      <c r="V28" s="111">
        <v>0</v>
      </c>
      <c r="W28" s="109" t="str">
        <v>NA</v>
      </c>
      <c r="X28" s="112">
        <v>0</v>
      </c>
      <c r="Y28" s="113" t="e">
        <v>#DIV/0!</v>
      </c>
      <c r="Z28" s="109" t="str">
        <v>NA</v>
      </c>
      <c r="AA28" s="112">
        <v>0</v>
      </c>
      <c r="AB28" s="111">
        <v>0</v>
      </c>
      <c r="AC28" s="109" t="str">
        <v>NA</v>
      </c>
      <c r="AD28" s="114">
        <v>0</v>
      </c>
      <c r="AE28" s="113">
        <v>10</v>
      </c>
      <c r="AF28" s="109" t="str">
        <v>NA</v>
      </c>
      <c r="AG28" s="114">
        <v>0</v>
      </c>
      <c r="AH28" s="113">
        <v>10</v>
      </c>
      <c r="AI28" s="109" t="str">
        <v>NA</v>
      </c>
      <c r="AJ28" s="112">
        <v>0</v>
      </c>
      <c r="AK28" s="113">
        <v>4</v>
      </c>
      <c r="AL28" s="109" t="str">
        <v>NA</v>
      </c>
      <c r="AM28" s="112">
        <v>0</v>
      </c>
      <c r="AN28" s="113">
        <v>4</v>
      </c>
      <c r="AO28" s="109" t="str">
        <v>NA</v>
      </c>
      <c r="AP28" s="115" t="str">
        <v>NA</v>
      </c>
      <c r="AQ28" s="113">
        <v>0</v>
      </c>
      <c r="AR28" s="109" t="str">
        <v>NA</v>
      </c>
      <c r="AS28" s="115" t="str">
        <v>NA</v>
      </c>
      <c r="AT28" s="113">
        <v>0</v>
      </c>
      <c r="AU28" s="116" t="str">
        <v>NA</v>
      </c>
      <c r="AV28" s="117" t="str">
        <v>NA</v>
      </c>
      <c r="AW28" s="118">
        <v>0</v>
      </c>
      <c r="AX28" s="119">
        <v>0</v>
      </c>
      <c r="AY28" s="120">
        <v>0</v>
      </c>
      <c r="AZ28" s="121" t="str">
        <v>Critère Manuel trop grand</v>
      </c>
      <c r="BA28" s="221" t="str">
        <v>NA</v>
      </c>
      <c r="BB28" s="222" t="str">
        <v>NA</v>
      </c>
      <c r="BC28" s="223">
        <v>0</v>
      </c>
      <c r="BD28" s="224">
        <v>0</v>
      </c>
      <c r="BE28" s="225">
        <v>0</v>
      </c>
      <c r="BF28" s="226" t="str">
        <v>Critère Manuel trop grand</v>
      </c>
      <c r="BG28" s="221" t="str">
        <v>NA</v>
      </c>
      <c r="BH28" s="222" t="str">
        <v>NA</v>
      </c>
      <c r="BI28" s="223">
        <v>0</v>
      </c>
      <c r="BJ28" s="224">
        <v>0</v>
      </c>
      <c r="BK28" s="225">
        <v>0</v>
      </c>
      <c r="BL28" s="226" t="str">
        <v>Critère Manuel trop grand</v>
      </c>
      <c r="BM28" s="221" t="str">
        <v>NA</v>
      </c>
      <c r="BN28" s="222" t="str">
        <v>NA</v>
      </c>
      <c r="BO28" s="223">
        <v>0</v>
      </c>
      <c r="BP28" s="224">
        <v>0</v>
      </c>
      <c r="BQ28" s="225">
        <v>0</v>
      </c>
      <c r="BR28" s="226" t="str">
        <v>Critère Manuel trop grand</v>
      </c>
      <c r="BS28" s="221" t="str">
        <v>NA</v>
      </c>
      <c r="BT28" s="222" t="str">
        <v>NA</v>
      </c>
      <c r="BU28" s="223">
        <v>0</v>
      </c>
      <c r="BV28" s="224">
        <v>0</v>
      </c>
      <c r="BW28" s="225">
        <v>0</v>
      </c>
      <c r="BX28" s="226" t="str">
        <v>Critère Manuel trop grand</v>
      </c>
      <c r="BY28" s="187" t="str">
        <v>NA</v>
      </c>
      <c r="BZ28" s="125" t="str">
        <v/>
      </c>
    </row>
    <row r="29" spans="1:78" s="123" customFormat="1" ht="25.5" x14ac:dyDescent="0.25">
      <c r="A29" s="301"/>
      <c r="B29" s="299"/>
      <c r="C29" s="162"/>
      <c r="D29" s="236" t="str">
        <v>NA</v>
      </c>
      <c r="E29" s="237"/>
      <c r="F29" s="237"/>
      <c r="G29" s="238"/>
      <c r="H29" s="238"/>
      <c r="I29" s="239" t="str">
        <v>NA</v>
      </c>
      <c r="J29" s="239" t="str">
        <v>NA</v>
      </c>
      <c r="K29" s="177"/>
      <c r="L29" s="177"/>
      <c r="M29" s="177"/>
      <c r="N29" s="177"/>
      <c r="O29" s="181"/>
      <c r="P29" s="107" t="b">
        <v>0</v>
      </c>
      <c r="Q29" s="245"/>
      <c r="R29" s="124"/>
      <c r="S29" s="124"/>
      <c r="T29" s="109" t="str">
        <v>NA</v>
      </c>
      <c r="U29" s="110" t="str">
        <v>NA</v>
      </c>
      <c r="V29" s="111">
        <v>0</v>
      </c>
      <c r="W29" s="109" t="str">
        <v>NA</v>
      </c>
      <c r="X29" s="112">
        <v>0</v>
      </c>
      <c r="Y29" s="113" t="e">
        <v>#DIV/0!</v>
      </c>
      <c r="Z29" s="109" t="str">
        <v>NA</v>
      </c>
      <c r="AA29" s="112">
        <v>0</v>
      </c>
      <c r="AB29" s="111">
        <v>0</v>
      </c>
      <c r="AC29" s="109" t="str">
        <v>NA</v>
      </c>
      <c r="AD29" s="114">
        <v>0</v>
      </c>
      <c r="AE29" s="113">
        <v>10</v>
      </c>
      <c r="AF29" s="109" t="str">
        <v>NA</v>
      </c>
      <c r="AG29" s="114">
        <v>0</v>
      </c>
      <c r="AH29" s="113">
        <v>10</v>
      </c>
      <c r="AI29" s="109" t="str">
        <v>NA</v>
      </c>
      <c r="AJ29" s="112">
        <v>0</v>
      </c>
      <c r="AK29" s="113">
        <v>4</v>
      </c>
      <c r="AL29" s="109" t="str">
        <v>NA</v>
      </c>
      <c r="AM29" s="112">
        <v>0</v>
      </c>
      <c r="AN29" s="113">
        <v>4</v>
      </c>
      <c r="AO29" s="109" t="str">
        <v>NA</v>
      </c>
      <c r="AP29" s="115" t="str">
        <v>NA</v>
      </c>
      <c r="AQ29" s="113">
        <v>0</v>
      </c>
      <c r="AR29" s="109" t="str">
        <v>NA</v>
      </c>
      <c r="AS29" s="115" t="str">
        <v>NA</v>
      </c>
      <c r="AT29" s="113">
        <v>0</v>
      </c>
      <c r="AU29" s="116" t="str">
        <v>NA</v>
      </c>
      <c r="AV29" s="117" t="str">
        <v>NA</v>
      </c>
      <c r="AW29" s="118">
        <v>0</v>
      </c>
      <c r="AX29" s="119">
        <v>0</v>
      </c>
      <c r="AY29" s="120">
        <v>0</v>
      </c>
      <c r="AZ29" s="121" t="str">
        <v>Critère Manuel trop grand</v>
      </c>
      <c r="BA29" s="221" t="str">
        <v>NA</v>
      </c>
      <c r="BB29" s="222" t="str">
        <v>NA</v>
      </c>
      <c r="BC29" s="223">
        <v>0</v>
      </c>
      <c r="BD29" s="224">
        <v>0</v>
      </c>
      <c r="BE29" s="225">
        <v>0</v>
      </c>
      <c r="BF29" s="226" t="str">
        <v>Critère Manuel trop grand</v>
      </c>
      <c r="BG29" s="221" t="str">
        <v>NA</v>
      </c>
      <c r="BH29" s="222" t="str">
        <v>NA</v>
      </c>
      <c r="BI29" s="223">
        <v>0</v>
      </c>
      <c r="BJ29" s="224">
        <v>0</v>
      </c>
      <c r="BK29" s="225">
        <v>0</v>
      </c>
      <c r="BL29" s="226" t="str">
        <v>Critère Manuel trop grand</v>
      </c>
      <c r="BM29" s="221" t="str">
        <v>NA</v>
      </c>
      <c r="BN29" s="222" t="str">
        <v>NA</v>
      </c>
      <c r="BO29" s="223">
        <v>0</v>
      </c>
      <c r="BP29" s="224">
        <v>0</v>
      </c>
      <c r="BQ29" s="225">
        <v>0</v>
      </c>
      <c r="BR29" s="226" t="str">
        <v>Critère Manuel trop grand</v>
      </c>
      <c r="BS29" s="221" t="str">
        <v>NA</v>
      </c>
      <c r="BT29" s="222" t="str">
        <v>NA</v>
      </c>
      <c r="BU29" s="223">
        <v>0</v>
      </c>
      <c r="BV29" s="224">
        <v>0</v>
      </c>
      <c r="BW29" s="225">
        <v>0</v>
      </c>
      <c r="BX29" s="226" t="str">
        <v>Critère Manuel trop grand</v>
      </c>
      <c r="BY29" s="187" t="str">
        <v>NA</v>
      </c>
      <c r="BZ29" s="125" t="str">
        <v/>
      </c>
    </row>
    <row r="30" spans="1:78" s="123" customFormat="1" ht="25.5" x14ac:dyDescent="0.25">
      <c r="A30" s="301"/>
      <c r="B30" s="299"/>
      <c r="C30" s="162"/>
      <c r="D30" s="236" t="str">
        <v>NA</v>
      </c>
      <c r="E30" s="237"/>
      <c r="F30" s="237"/>
      <c r="G30" s="238"/>
      <c r="H30" s="238"/>
      <c r="I30" s="239" t="str">
        <v>NA</v>
      </c>
      <c r="J30" s="239" t="str">
        <v>NA</v>
      </c>
      <c r="K30" s="177"/>
      <c r="L30" s="177"/>
      <c r="M30" s="177"/>
      <c r="N30" s="177"/>
      <c r="O30" s="181"/>
      <c r="P30" s="107" t="b">
        <v>0</v>
      </c>
      <c r="Q30" s="245"/>
      <c r="R30" s="124"/>
      <c r="S30" s="124"/>
      <c r="T30" s="109" t="str">
        <v>NA</v>
      </c>
      <c r="U30" s="110" t="str">
        <v>NA</v>
      </c>
      <c r="V30" s="111">
        <v>0</v>
      </c>
      <c r="W30" s="109" t="str">
        <v>NA</v>
      </c>
      <c r="X30" s="112">
        <v>0</v>
      </c>
      <c r="Y30" s="113" t="e">
        <v>#DIV/0!</v>
      </c>
      <c r="Z30" s="109" t="str">
        <v>NA</v>
      </c>
      <c r="AA30" s="112">
        <v>0</v>
      </c>
      <c r="AB30" s="111">
        <v>0</v>
      </c>
      <c r="AC30" s="109" t="str">
        <v>NA</v>
      </c>
      <c r="AD30" s="114">
        <v>0</v>
      </c>
      <c r="AE30" s="113">
        <v>10</v>
      </c>
      <c r="AF30" s="109" t="str">
        <v>NA</v>
      </c>
      <c r="AG30" s="114">
        <v>0</v>
      </c>
      <c r="AH30" s="113">
        <v>10</v>
      </c>
      <c r="AI30" s="109" t="str">
        <v>NA</v>
      </c>
      <c r="AJ30" s="112">
        <v>0</v>
      </c>
      <c r="AK30" s="113">
        <v>4</v>
      </c>
      <c r="AL30" s="109" t="str">
        <v>NA</v>
      </c>
      <c r="AM30" s="112">
        <v>0</v>
      </c>
      <c r="AN30" s="113">
        <v>4</v>
      </c>
      <c r="AO30" s="109" t="str">
        <v>NA</v>
      </c>
      <c r="AP30" s="115" t="str">
        <v>NA</v>
      </c>
      <c r="AQ30" s="113">
        <v>0</v>
      </c>
      <c r="AR30" s="109" t="str">
        <v>NA</v>
      </c>
      <c r="AS30" s="115" t="str">
        <v>NA</v>
      </c>
      <c r="AT30" s="113">
        <v>0</v>
      </c>
      <c r="AU30" s="116" t="str">
        <v>NA</v>
      </c>
      <c r="AV30" s="117" t="str">
        <v>NA</v>
      </c>
      <c r="AW30" s="118">
        <v>0</v>
      </c>
      <c r="AX30" s="119">
        <v>0</v>
      </c>
      <c r="AY30" s="120">
        <v>0</v>
      </c>
      <c r="AZ30" s="121" t="str">
        <v>Critère Manuel trop grand</v>
      </c>
      <c r="BA30" s="221" t="str">
        <v>NA</v>
      </c>
      <c r="BB30" s="222" t="str">
        <v>NA</v>
      </c>
      <c r="BC30" s="223">
        <v>0</v>
      </c>
      <c r="BD30" s="224">
        <v>0</v>
      </c>
      <c r="BE30" s="225">
        <v>0</v>
      </c>
      <c r="BF30" s="226" t="str">
        <v>Critère Manuel trop grand</v>
      </c>
      <c r="BG30" s="221" t="str">
        <v>NA</v>
      </c>
      <c r="BH30" s="222" t="str">
        <v>NA</v>
      </c>
      <c r="BI30" s="223">
        <v>0</v>
      </c>
      <c r="BJ30" s="224">
        <v>0</v>
      </c>
      <c r="BK30" s="225">
        <v>0</v>
      </c>
      <c r="BL30" s="226" t="str">
        <v>Critère Manuel trop grand</v>
      </c>
      <c r="BM30" s="221" t="str">
        <v>NA</v>
      </c>
      <c r="BN30" s="222" t="str">
        <v>NA</v>
      </c>
      <c r="BO30" s="223">
        <v>0</v>
      </c>
      <c r="BP30" s="224">
        <v>0</v>
      </c>
      <c r="BQ30" s="225">
        <v>0</v>
      </c>
      <c r="BR30" s="226" t="str">
        <v>Critère Manuel trop grand</v>
      </c>
      <c r="BS30" s="221" t="str">
        <v>NA</v>
      </c>
      <c r="BT30" s="222" t="str">
        <v>NA</v>
      </c>
      <c r="BU30" s="223">
        <v>0</v>
      </c>
      <c r="BV30" s="224">
        <v>0</v>
      </c>
      <c r="BW30" s="225">
        <v>0</v>
      </c>
      <c r="BX30" s="226" t="str">
        <v>Critère Manuel trop grand</v>
      </c>
      <c r="BY30" s="187" t="str">
        <v>NA</v>
      </c>
      <c r="BZ30" s="125" t="str">
        <v/>
      </c>
    </row>
    <row r="31" spans="1:78" s="123" customFormat="1" ht="25.5" x14ac:dyDescent="0.25">
      <c r="A31" s="301"/>
      <c r="B31" s="299"/>
      <c r="C31" s="162"/>
      <c r="D31" s="236" t="str">
        <v>NA</v>
      </c>
      <c r="E31" s="237"/>
      <c r="F31" s="237"/>
      <c r="G31" s="238"/>
      <c r="H31" s="238"/>
      <c r="I31" s="239" t="str">
        <v>NA</v>
      </c>
      <c r="J31" s="239" t="str">
        <v>NA</v>
      </c>
      <c r="K31" s="177"/>
      <c r="L31" s="177"/>
      <c r="M31" s="177"/>
      <c r="N31" s="177"/>
      <c r="O31" s="181"/>
      <c r="P31" s="107" t="b">
        <v>0</v>
      </c>
      <c r="Q31" s="245"/>
      <c r="R31" s="124"/>
      <c r="S31" s="124"/>
      <c r="T31" s="109" t="str">
        <v>NA</v>
      </c>
      <c r="U31" s="110" t="str">
        <v>NA</v>
      </c>
      <c r="V31" s="111">
        <v>0</v>
      </c>
      <c r="W31" s="109" t="str">
        <v>NA</v>
      </c>
      <c r="X31" s="112">
        <v>0</v>
      </c>
      <c r="Y31" s="113" t="e">
        <v>#DIV/0!</v>
      </c>
      <c r="Z31" s="109" t="str">
        <v>NA</v>
      </c>
      <c r="AA31" s="112">
        <v>0</v>
      </c>
      <c r="AB31" s="111">
        <v>0</v>
      </c>
      <c r="AC31" s="109" t="str">
        <v>NA</v>
      </c>
      <c r="AD31" s="114">
        <v>0</v>
      </c>
      <c r="AE31" s="113">
        <v>10</v>
      </c>
      <c r="AF31" s="109" t="str">
        <v>NA</v>
      </c>
      <c r="AG31" s="114">
        <v>0</v>
      </c>
      <c r="AH31" s="113">
        <v>10</v>
      </c>
      <c r="AI31" s="109" t="str">
        <v>NA</v>
      </c>
      <c r="AJ31" s="112">
        <v>0</v>
      </c>
      <c r="AK31" s="113">
        <v>4</v>
      </c>
      <c r="AL31" s="109" t="str">
        <v>NA</v>
      </c>
      <c r="AM31" s="112">
        <v>0</v>
      </c>
      <c r="AN31" s="113">
        <v>4</v>
      </c>
      <c r="AO31" s="109" t="str">
        <v>NA</v>
      </c>
      <c r="AP31" s="115" t="str">
        <v>NA</v>
      </c>
      <c r="AQ31" s="113">
        <v>0</v>
      </c>
      <c r="AR31" s="109" t="str">
        <v>NA</v>
      </c>
      <c r="AS31" s="115" t="str">
        <v>NA</v>
      </c>
      <c r="AT31" s="113">
        <v>0</v>
      </c>
      <c r="AU31" s="116" t="str">
        <v>NA</v>
      </c>
      <c r="AV31" s="117" t="str">
        <v>NA</v>
      </c>
      <c r="AW31" s="118">
        <v>0</v>
      </c>
      <c r="AX31" s="119">
        <v>0</v>
      </c>
      <c r="AY31" s="120">
        <v>0</v>
      </c>
      <c r="AZ31" s="121" t="str">
        <v>Critère Manuel trop grand</v>
      </c>
      <c r="BA31" s="221" t="str">
        <v>NA</v>
      </c>
      <c r="BB31" s="222" t="str">
        <v>NA</v>
      </c>
      <c r="BC31" s="223">
        <v>0</v>
      </c>
      <c r="BD31" s="224">
        <v>0</v>
      </c>
      <c r="BE31" s="225">
        <v>0</v>
      </c>
      <c r="BF31" s="226" t="str">
        <v>Critère Manuel trop grand</v>
      </c>
      <c r="BG31" s="221" t="str">
        <v>NA</v>
      </c>
      <c r="BH31" s="222" t="str">
        <v>NA</v>
      </c>
      <c r="BI31" s="223">
        <v>0</v>
      </c>
      <c r="BJ31" s="224">
        <v>0</v>
      </c>
      <c r="BK31" s="225">
        <v>0</v>
      </c>
      <c r="BL31" s="226" t="str">
        <v>Critère Manuel trop grand</v>
      </c>
      <c r="BM31" s="221" t="str">
        <v>NA</v>
      </c>
      <c r="BN31" s="222" t="str">
        <v>NA</v>
      </c>
      <c r="BO31" s="223">
        <v>0</v>
      </c>
      <c r="BP31" s="224">
        <v>0</v>
      </c>
      <c r="BQ31" s="225">
        <v>0</v>
      </c>
      <c r="BR31" s="226" t="str">
        <v>Critère Manuel trop grand</v>
      </c>
      <c r="BS31" s="221" t="str">
        <v>NA</v>
      </c>
      <c r="BT31" s="222" t="str">
        <v>NA</v>
      </c>
      <c r="BU31" s="223">
        <v>0</v>
      </c>
      <c r="BV31" s="224">
        <v>0</v>
      </c>
      <c r="BW31" s="225">
        <v>0</v>
      </c>
      <c r="BX31" s="226" t="str">
        <v>Critère Manuel trop grand</v>
      </c>
      <c r="BY31" s="187" t="str">
        <v>NA</v>
      </c>
      <c r="BZ31" s="125" t="str">
        <v/>
      </c>
    </row>
    <row r="32" spans="1:78" s="123" customFormat="1" ht="25.5" x14ac:dyDescent="0.25">
      <c r="A32" s="301"/>
      <c r="B32" s="299"/>
      <c r="C32" s="162"/>
      <c r="D32" s="236" t="str">
        <v>NA</v>
      </c>
      <c r="E32" s="237"/>
      <c r="F32" s="237"/>
      <c r="G32" s="238"/>
      <c r="H32" s="238"/>
      <c r="I32" s="239" t="str">
        <v>NA</v>
      </c>
      <c r="J32" s="239" t="str">
        <v>NA</v>
      </c>
      <c r="K32" s="177"/>
      <c r="L32" s="177"/>
      <c r="M32" s="177"/>
      <c r="N32" s="177"/>
      <c r="O32" s="181"/>
      <c r="P32" s="107" t="b">
        <v>0</v>
      </c>
      <c r="Q32" s="245"/>
      <c r="R32" s="124"/>
      <c r="S32" s="124"/>
      <c r="T32" s="109" t="str">
        <v>NA</v>
      </c>
      <c r="U32" s="110" t="str">
        <v>NA</v>
      </c>
      <c r="V32" s="111">
        <v>0</v>
      </c>
      <c r="W32" s="109" t="str">
        <v>NA</v>
      </c>
      <c r="X32" s="112">
        <v>0</v>
      </c>
      <c r="Y32" s="113" t="e">
        <v>#DIV/0!</v>
      </c>
      <c r="Z32" s="109" t="str">
        <v>NA</v>
      </c>
      <c r="AA32" s="112">
        <v>0</v>
      </c>
      <c r="AB32" s="111">
        <v>0</v>
      </c>
      <c r="AC32" s="109" t="str">
        <v>NA</v>
      </c>
      <c r="AD32" s="114">
        <v>0</v>
      </c>
      <c r="AE32" s="113">
        <v>10</v>
      </c>
      <c r="AF32" s="109" t="str">
        <v>NA</v>
      </c>
      <c r="AG32" s="114">
        <v>0</v>
      </c>
      <c r="AH32" s="113">
        <v>10</v>
      </c>
      <c r="AI32" s="109" t="str">
        <v>NA</v>
      </c>
      <c r="AJ32" s="112">
        <v>0</v>
      </c>
      <c r="AK32" s="113">
        <v>4</v>
      </c>
      <c r="AL32" s="109" t="str">
        <v>NA</v>
      </c>
      <c r="AM32" s="112">
        <v>0</v>
      </c>
      <c r="AN32" s="113">
        <v>4</v>
      </c>
      <c r="AO32" s="109" t="str">
        <v>NA</v>
      </c>
      <c r="AP32" s="115" t="str">
        <v>NA</v>
      </c>
      <c r="AQ32" s="113">
        <v>0</v>
      </c>
      <c r="AR32" s="109" t="str">
        <v>NA</v>
      </c>
      <c r="AS32" s="115" t="str">
        <v>NA</v>
      </c>
      <c r="AT32" s="113">
        <v>0</v>
      </c>
      <c r="AU32" s="116" t="str">
        <v>NA</v>
      </c>
      <c r="AV32" s="117" t="str">
        <v>NA</v>
      </c>
      <c r="AW32" s="118">
        <v>0</v>
      </c>
      <c r="AX32" s="119">
        <v>0</v>
      </c>
      <c r="AY32" s="120">
        <v>0</v>
      </c>
      <c r="AZ32" s="121" t="str">
        <v>Critère Manuel trop grand</v>
      </c>
      <c r="BA32" s="221" t="str">
        <v>NA</v>
      </c>
      <c r="BB32" s="222" t="str">
        <v>NA</v>
      </c>
      <c r="BC32" s="223">
        <v>0</v>
      </c>
      <c r="BD32" s="224">
        <v>0</v>
      </c>
      <c r="BE32" s="225">
        <v>0</v>
      </c>
      <c r="BF32" s="226" t="str">
        <v>Critère Manuel trop grand</v>
      </c>
      <c r="BG32" s="221" t="str">
        <v>NA</v>
      </c>
      <c r="BH32" s="222" t="str">
        <v>NA</v>
      </c>
      <c r="BI32" s="223">
        <v>0</v>
      </c>
      <c r="BJ32" s="224">
        <v>0</v>
      </c>
      <c r="BK32" s="225">
        <v>0</v>
      </c>
      <c r="BL32" s="226" t="str">
        <v>Critère Manuel trop grand</v>
      </c>
      <c r="BM32" s="221" t="str">
        <v>NA</v>
      </c>
      <c r="BN32" s="222" t="str">
        <v>NA</v>
      </c>
      <c r="BO32" s="223">
        <v>0</v>
      </c>
      <c r="BP32" s="224">
        <v>0</v>
      </c>
      <c r="BQ32" s="225">
        <v>0</v>
      </c>
      <c r="BR32" s="226" t="str">
        <v>Critère Manuel trop grand</v>
      </c>
      <c r="BS32" s="221" t="str">
        <v>NA</v>
      </c>
      <c r="BT32" s="222" t="str">
        <v>NA</v>
      </c>
      <c r="BU32" s="223">
        <v>0</v>
      </c>
      <c r="BV32" s="224">
        <v>0</v>
      </c>
      <c r="BW32" s="225">
        <v>0</v>
      </c>
      <c r="BX32" s="226" t="str">
        <v>Critère Manuel trop grand</v>
      </c>
      <c r="BY32" s="187" t="str">
        <v>NA</v>
      </c>
      <c r="BZ32" s="125" t="str">
        <v/>
      </c>
    </row>
    <row r="33" spans="1:78" s="123" customFormat="1" ht="26.25" thickBot="1" x14ac:dyDescent="0.3">
      <c r="A33" s="302"/>
      <c r="B33" s="300"/>
      <c r="C33" s="163"/>
      <c r="D33" s="240" t="str">
        <v>NA</v>
      </c>
      <c r="E33" s="241"/>
      <c r="F33" s="241"/>
      <c r="G33" s="242"/>
      <c r="H33" s="242"/>
      <c r="I33" s="243" t="str">
        <v>NA</v>
      </c>
      <c r="J33" s="243" t="str">
        <v>NA</v>
      </c>
      <c r="K33" s="178"/>
      <c r="L33" s="178"/>
      <c r="M33" s="178"/>
      <c r="N33" s="178"/>
      <c r="O33" s="182"/>
      <c r="P33" s="127" t="b">
        <v>0</v>
      </c>
      <c r="Q33" s="245"/>
      <c r="R33" s="126"/>
      <c r="S33" s="124"/>
      <c r="T33" s="128" t="str">
        <v>NA</v>
      </c>
      <c r="U33" s="129" t="str">
        <v>NA</v>
      </c>
      <c r="V33" s="130">
        <v>0</v>
      </c>
      <c r="W33" s="128" t="str">
        <v>NA</v>
      </c>
      <c r="X33" s="131">
        <v>0</v>
      </c>
      <c r="Y33" s="132" t="e">
        <v>#DIV/0!</v>
      </c>
      <c r="Z33" s="128" t="str">
        <v>NA</v>
      </c>
      <c r="AA33" s="131">
        <v>0</v>
      </c>
      <c r="AB33" s="130">
        <v>0</v>
      </c>
      <c r="AC33" s="128" t="str">
        <v>NA</v>
      </c>
      <c r="AD33" s="133">
        <v>0</v>
      </c>
      <c r="AE33" s="132">
        <v>10</v>
      </c>
      <c r="AF33" s="128" t="str">
        <v>NA</v>
      </c>
      <c r="AG33" s="133">
        <v>0</v>
      </c>
      <c r="AH33" s="132">
        <v>10</v>
      </c>
      <c r="AI33" s="128" t="str">
        <v>NA</v>
      </c>
      <c r="AJ33" s="131">
        <v>0</v>
      </c>
      <c r="AK33" s="132">
        <v>4</v>
      </c>
      <c r="AL33" s="128" t="str">
        <v>NA</v>
      </c>
      <c r="AM33" s="131">
        <v>0</v>
      </c>
      <c r="AN33" s="132">
        <v>4</v>
      </c>
      <c r="AO33" s="128" t="str">
        <v>NA</v>
      </c>
      <c r="AP33" s="134" t="str">
        <v>NA</v>
      </c>
      <c r="AQ33" s="132">
        <v>0</v>
      </c>
      <c r="AR33" s="128" t="str">
        <v>NA</v>
      </c>
      <c r="AS33" s="134" t="str">
        <v>NA</v>
      </c>
      <c r="AT33" s="132">
        <v>0</v>
      </c>
      <c r="AU33" s="135" t="str">
        <v>NA</v>
      </c>
      <c r="AV33" s="136" t="str">
        <v>NA</v>
      </c>
      <c r="AW33" s="137">
        <v>0</v>
      </c>
      <c r="AX33" s="138">
        <v>0</v>
      </c>
      <c r="AY33" s="139">
        <v>0</v>
      </c>
      <c r="AZ33" s="140" t="str">
        <v>Critère Manuel trop grand</v>
      </c>
      <c r="BA33" s="227" t="str">
        <v>NA</v>
      </c>
      <c r="BB33" s="228" t="str">
        <v>NA</v>
      </c>
      <c r="BC33" s="229">
        <v>0</v>
      </c>
      <c r="BD33" s="230">
        <v>0</v>
      </c>
      <c r="BE33" s="231">
        <v>0</v>
      </c>
      <c r="BF33" s="232" t="str">
        <v>Critère Manuel trop grand</v>
      </c>
      <c r="BG33" s="227" t="str">
        <v>NA</v>
      </c>
      <c r="BH33" s="228" t="str">
        <v>NA</v>
      </c>
      <c r="BI33" s="229">
        <v>0</v>
      </c>
      <c r="BJ33" s="230">
        <v>0</v>
      </c>
      <c r="BK33" s="231">
        <v>0</v>
      </c>
      <c r="BL33" s="232" t="str">
        <v>Critère Manuel trop grand</v>
      </c>
      <c r="BM33" s="227" t="str">
        <v>NA</v>
      </c>
      <c r="BN33" s="228" t="str">
        <v>NA</v>
      </c>
      <c r="BO33" s="229">
        <v>0</v>
      </c>
      <c r="BP33" s="230">
        <v>0</v>
      </c>
      <c r="BQ33" s="231">
        <v>0</v>
      </c>
      <c r="BR33" s="232" t="str">
        <v>Critère Manuel trop grand</v>
      </c>
      <c r="BS33" s="227" t="str">
        <v>NA</v>
      </c>
      <c r="BT33" s="228" t="str">
        <v>NA</v>
      </c>
      <c r="BU33" s="229">
        <v>0</v>
      </c>
      <c r="BV33" s="230">
        <v>0</v>
      </c>
      <c r="BW33" s="231">
        <v>0</v>
      </c>
      <c r="BX33" s="232" t="str">
        <v>Critère Manuel trop grand</v>
      </c>
      <c r="BY33" s="188" t="str">
        <v>NA</v>
      </c>
      <c r="BZ33" s="141" t="str">
        <v/>
      </c>
    </row>
    <row r="34" spans="1:78" ht="13.5" thickBot="1" x14ac:dyDescent="0.25">
      <c r="G34" s="142"/>
      <c r="H34" s="142"/>
      <c r="Q34" s="246"/>
      <c r="BY34" s="43"/>
      <c r="BZ34" s="44"/>
    </row>
    <row r="35" spans="1:78" x14ac:dyDescent="0.2">
      <c r="B35" s="273" t="s">
        <v>3</v>
      </c>
      <c r="C35" s="274">
        <f t="array" ref="C35">MIN(IF($P19:$P33=TRUE,C19:C33))</f>
        <v>0</v>
      </c>
      <c r="D35" s="275">
        <f t="array" ref="D35">MIN(IF($P19:$P33=TRUE,D19:D33))</f>
        <v>0</v>
      </c>
      <c r="E35" s="276">
        <f t="array" ref="E35">MIN(IF($P19:$P33=TRUE,E19:E33))</f>
        <v>0</v>
      </c>
      <c r="F35" s="276">
        <f t="array" ref="F35">MIN(IF($P19:$P33=TRUE,F19:F33))</f>
        <v>0</v>
      </c>
      <c r="G35" s="277">
        <f t="array" ref="G35">MIN(IF($P19:$P33=TRUE,G19:G33))</f>
        <v>0</v>
      </c>
      <c r="H35" s="277">
        <f t="array" ref="H35">MIN(IF($P19:$P33=TRUE,H19:H33))</f>
        <v>0</v>
      </c>
      <c r="I35" s="278">
        <f t="array" ref="I35">MIN(IF($P19:$P33=TRUE,I19:I33))</f>
        <v>0</v>
      </c>
      <c r="J35" s="278">
        <f t="array" ref="J35">MIN(IF($P19:$P33=TRUE,J19:J33))</f>
        <v>0</v>
      </c>
      <c r="K35" s="279">
        <f t="array" ref="K35">MIN(IF($P19:$P33=TRUE,K19:K33))</f>
        <v>0</v>
      </c>
      <c r="L35" s="279">
        <f t="array" ref="L35">MIN(IF($P19:$P33=TRUE,L19:L33))</f>
        <v>0</v>
      </c>
      <c r="M35" s="279">
        <f t="array" ref="M35">MIN(IF($P19:$P33=TRUE,M19:M33))</f>
        <v>0</v>
      </c>
      <c r="N35" s="279">
        <f t="array" ref="N35">MIN(IF($P19:$P33=TRUE,N19:N33))</f>
        <v>0</v>
      </c>
      <c r="O35" s="280">
        <f t="array" ref="O35">MIN(IF($P19:$P33=TRUE,O19:O33))</f>
        <v>0</v>
      </c>
      <c r="Q35" s="144"/>
      <c r="R35" s="144"/>
      <c r="S35" s="144"/>
      <c r="T35" s="145">
        <f t="shared" ref="T35:BF35" si="13">MIN(T19:T33)</f>
        <v>0</v>
      </c>
      <c r="U35" s="146">
        <f t="shared" si="13"/>
        <v>0</v>
      </c>
      <c r="V35" s="143">
        <f t="shared" si="13"/>
        <v>0</v>
      </c>
      <c r="W35" s="147">
        <f t="shared" si="13"/>
        <v>0</v>
      </c>
      <c r="X35" s="146">
        <f t="shared" si="13"/>
        <v>0</v>
      </c>
      <c r="Y35" s="143" t="e">
        <f t="shared" si="13"/>
        <v>#DIV/0!</v>
      </c>
      <c r="Z35" s="147">
        <f t="shared" si="13"/>
        <v>0</v>
      </c>
      <c r="AA35" s="146">
        <f t="shared" si="13"/>
        <v>0</v>
      </c>
      <c r="AB35" s="143">
        <f t="shared" si="13"/>
        <v>0</v>
      </c>
      <c r="AC35" s="147">
        <f t="shared" si="13"/>
        <v>0</v>
      </c>
      <c r="AD35" s="146">
        <f t="shared" si="13"/>
        <v>0</v>
      </c>
      <c r="AE35" s="143">
        <f t="shared" si="13"/>
        <v>10</v>
      </c>
      <c r="AF35" s="147">
        <f t="shared" si="13"/>
        <v>0</v>
      </c>
      <c r="AG35" s="146">
        <f t="shared" si="13"/>
        <v>0</v>
      </c>
      <c r="AH35" s="143">
        <f t="shared" si="13"/>
        <v>10</v>
      </c>
      <c r="AI35" s="147">
        <f t="shared" si="13"/>
        <v>0</v>
      </c>
      <c r="AJ35" s="146">
        <f t="shared" si="13"/>
        <v>0</v>
      </c>
      <c r="AK35" s="143">
        <f t="shared" si="13"/>
        <v>4</v>
      </c>
      <c r="AL35" s="147">
        <f t="shared" si="13"/>
        <v>0</v>
      </c>
      <c r="AM35" s="146">
        <f t="shared" si="13"/>
        <v>0</v>
      </c>
      <c r="AN35" s="143">
        <f t="shared" si="13"/>
        <v>4</v>
      </c>
      <c r="AO35" s="147">
        <f t="shared" si="13"/>
        <v>0</v>
      </c>
      <c r="AP35" s="148">
        <f t="shared" si="13"/>
        <v>0</v>
      </c>
      <c r="AQ35" s="143">
        <f t="shared" si="13"/>
        <v>0</v>
      </c>
      <c r="AR35" s="147">
        <f t="shared" si="13"/>
        <v>0</v>
      </c>
      <c r="AS35" s="148">
        <f t="shared" si="13"/>
        <v>0</v>
      </c>
      <c r="AT35" s="143">
        <f t="shared" si="13"/>
        <v>0</v>
      </c>
      <c r="AU35" s="147">
        <f t="shared" si="13"/>
        <v>0</v>
      </c>
      <c r="AV35" s="149">
        <f t="shared" si="13"/>
        <v>0</v>
      </c>
      <c r="AW35" s="143">
        <f t="shared" si="13"/>
        <v>0</v>
      </c>
      <c r="AX35" s="143">
        <f t="shared" si="13"/>
        <v>0</v>
      </c>
      <c r="AY35" s="143">
        <f t="shared" si="13"/>
        <v>0</v>
      </c>
      <c r="AZ35" s="143">
        <f t="shared" si="13"/>
        <v>0</v>
      </c>
      <c r="BA35" s="150">
        <f t="shared" si="13"/>
        <v>0</v>
      </c>
      <c r="BB35" s="190">
        <f t="shared" si="13"/>
        <v>0</v>
      </c>
      <c r="BC35" s="143">
        <f t="shared" si="13"/>
        <v>0</v>
      </c>
      <c r="BD35" s="143">
        <f t="shared" si="13"/>
        <v>0</v>
      </c>
      <c r="BE35" s="143">
        <f t="shared" si="13"/>
        <v>0</v>
      </c>
      <c r="BF35" s="191">
        <f t="shared" si="13"/>
        <v>0</v>
      </c>
      <c r="BG35" s="150">
        <f t="shared" ref="BG35:BR35" si="14">MIN(BG19:BG33)</f>
        <v>0</v>
      </c>
      <c r="BH35" s="190">
        <f t="shared" si="14"/>
        <v>0</v>
      </c>
      <c r="BI35" s="143">
        <f t="shared" si="14"/>
        <v>0</v>
      </c>
      <c r="BJ35" s="143">
        <f t="shared" si="14"/>
        <v>0</v>
      </c>
      <c r="BK35" s="143">
        <f t="shared" si="14"/>
        <v>0</v>
      </c>
      <c r="BL35" s="191">
        <f t="shared" si="14"/>
        <v>0</v>
      </c>
      <c r="BM35" s="150">
        <f t="shared" si="14"/>
        <v>0</v>
      </c>
      <c r="BN35" s="190">
        <f t="shared" si="14"/>
        <v>0</v>
      </c>
      <c r="BO35" s="143">
        <f t="shared" si="14"/>
        <v>0</v>
      </c>
      <c r="BP35" s="143">
        <f t="shared" si="14"/>
        <v>0</v>
      </c>
      <c r="BQ35" s="143">
        <f t="shared" si="14"/>
        <v>0</v>
      </c>
      <c r="BR35" s="191">
        <f t="shared" si="14"/>
        <v>0</v>
      </c>
      <c r="BS35" s="150">
        <f t="shared" ref="BS35:BX35" si="15">MIN(BS19:BS33)</f>
        <v>0</v>
      </c>
      <c r="BT35" s="190">
        <f t="shared" si="15"/>
        <v>0</v>
      </c>
      <c r="BU35" s="143">
        <f t="shared" si="15"/>
        <v>0</v>
      </c>
      <c r="BV35" s="143">
        <f t="shared" si="15"/>
        <v>0</v>
      </c>
      <c r="BW35" s="143">
        <f t="shared" si="15"/>
        <v>0</v>
      </c>
      <c r="BX35" s="191">
        <f t="shared" si="15"/>
        <v>0</v>
      </c>
      <c r="BY35" s="151">
        <f>MIN(BY19:BY33)</f>
        <v>0</v>
      </c>
    </row>
    <row r="36" spans="1:78" ht="13.5" thickBot="1" x14ac:dyDescent="0.25">
      <c r="B36" s="281" t="s">
        <v>4</v>
      </c>
      <c r="C36" s="282">
        <f t="array" ref="C36">MAX(IF($P19:$P33=TRUE,C19:C33))</f>
        <v>0</v>
      </c>
      <c r="D36" s="283">
        <f t="array" ref="D36">MAX(IF($P19:$P33=TRUE,D19:D33))</f>
        <v>0</v>
      </c>
      <c r="E36" s="284">
        <f t="array" ref="E36">MAX(IF($P19:$P33=TRUE,E19:E33))</f>
        <v>0</v>
      </c>
      <c r="F36" s="284">
        <f t="array" ref="F36">MAX(IF($P19:$P33=TRUE,F19:F33))</f>
        <v>0</v>
      </c>
      <c r="G36" s="285">
        <f t="array" ref="G36">MAX(IF($P19:$P33=TRUE,G19:G33))</f>
        <v>0</v>
      </c>
      <c r="H36" s="285">
        <f t="array" ref="H36">MAX(IF($P19:$P33=TRUE,H19:H33))</f>
        <v>0</v>
      </c>
      <c r="I36" s="286">
        <f t="array" ref="I36">MAX(IF($P19:$P33=TRUE,I19:I33))</f>
        <v>0</v>
      </c>
      <c r="J36" s="286">
        <f t="array" ref="J36">MAX(IF($P19:$P33=TRUE,J19:J33))</f>
        <v>0</v>
      </c>
      <c r="K36" s="287">
        <f t="array" ref="K36">MAX(IF($P19:$P33=TRUE,K19:K33))</f>
        <v>0</v>
      </c>
      <c r="L36" s="287">
        <f t="array" ref="L36">MAX(IF($P19:$P33=TRUE,L19:L33))</f>
        <v>0</v>
      </c>
      <c r="M36" s="287">
        <f t="array" ref="M36">MAX(IF($P19:$P33=TRUE,M19:M33))</f>
        <v>0</v>
      </c>
      <c r="N36" s="287">
        <f t="array" ref="N36">MAX(IF($P19:$P33=TRUE,N19:N33))</f>
        <v>0</v>
      </c>
      <c r="O36" s="288">
        <f t="array" ref="O36">MAX(IF($P19:$P33=TRUE,O19:O33))</f>
        <v>0</v>
      </c>
      <c r="Q36" s="144"/>
      <c r="R36" s="144"/>
      <c r="S36" s="144"/>
      <c r="T36" s="153">
        <f t="shared" ref="T36:BF36" si="16">MAX(T19:T33)</f>
        <v>0</v>
      </c>
      <c r="U36" s="154">
        <f t="shared" si="16"/>
        <v>0</v>
      </c>
      <c r="V36" s="152">
        <f t="shared" si="16"/>
        <v>0</v>
      </c>
      <c r="W36" s="155">
        <f t="shared" si="16"/>
        <v>0</v>
      </c>
      <c r="X36" s="154">
        <f t="shared" si="16"/>
        <v>0</v>
      </c>
      <c r="Y36" s="152" t="e">
        <f t="shared" si="16"/>
        <v>#DIV/0!</v>
      </c>
      <c r="Z36" s="155">
        <f t="shared" si="16"/>
        <v>0</v>
      </c>
      <c r="AA36" s="154">
        <f t="shared" si="16"/>
        <v>0</v>
      </c>
      <c r="AB36" s="152">
        <f t="shared" si="16"/>
        <v>0</v>
      </c>
      <c r="AC36" s="155">
        <f t="shared" si="16"/>
        <v>0</v>
      </c>
      <c r="AD36" s="154">
        <f t="shared" si="16"/>
        <v>0</v>
      </c>
      <c r="AE36" s="152">
        <f t="shared" si="16"/>
        <v>10</v>
      </c>
      <c r="AF36" s="155">
        <f t="shared" si="16"/>
        <v>0</v>
      </c>
      <c r="AG36" s="154">
        <f t="shared" si="16"/>
        <v>0</v>
      </c>
      <c r="AH36" s="152">
        <f t="shared" si="16"/>
        <v>10</v>
      </c>
      <c r="AI36" s="155">
        <f t="shared" si="16"/>
        <v>0</v>
      </c>
      <c r="AJ36" s="154">
        <f t="shared" si="16"/>
        <v>0</v>
      </c>
      <c r="AK36" s="152">
        <f t="shared" si="16"/>
        <v>4</v>
      </c>
      <c r="AL36" s="155">
        <f t="shared" si="16"/>
        <v>0</v>
      </c>
      <c r="AM36" s="154">
        <f t="shared" si="16"/>
        <v>0</v>
      </c>
      <c r="AN36" s="152">
        <f t="shared" si="16"/>
        <v>4</v>
      </c>
      <c r="AO36" s="155">
        <f t="shared" si="16"/>
        <v>0</v>
      </c>
      <c r="AP36" s="156">
        <f t="shared" si="16"/>
        <v>0</v>
      </c>
      <c r="AQ36" s="152">
        <f t="shared" si="16"/>
        <v>0</v>
      </c>
      <c r="AR36" s="155">
        <f t="shared" si="16"/>
        <v>0</v>
      </c>
      <c r="AS36" s="156">
        <f t="shared" si="16"/>
        <v>0</v>
      </c>
      <c r="AT36" s="152">
        <f t="shared" si="16"/>
        <v>0</v>
      </c>
      <c r="AU36" s="155">
        <f t="shared" si="16"/>
        <v>0</v>
      </c>
      <c r="AV36" s="157">
        <f t="shared" si="16"/>
        <v>0</v>
      </c>
      <c r="AW36" s="152">
        <f t="shared" si="16"/>
        <v>0</v>
      </c>
      <c r="AX36" s="152">
        <f t="shared" si="16"/>
        <v>0</v>
      </c>
      <c r="AY36" s="152">
        <f t="shared" si="16"/>
        <v>0</v>
      </c>
      <c r="AZ36" s="152">
        <f t="shared" si="16"/>
        <v>0</v>
      </c>
      <c r="BA36" s="158">
        <f t="shared" si="16"/>
        <v>0</v>
      </c>
      <c r="BB36" s="192">
        <f t="shared" si="16"/>
        <v>0</v>
      </c>
      <c r="BC36" s="152">
        <f t="shared" si="16"/>
        <v>0</v>
      </c>
      <c r="BD36" s="152">
        <f t="shared" si="16"/>
        <v>0</v>
      </c>
      <c r="BE36" s="152">
        <f t="shared" si="16"/>
        <v>0</v>
      </c>
      <c r="BF36" s="193">
        <f t="shared" si="16"/>
        <v>0</v>
      </c>
      <c r="BG36" s="158">
        <f t="shared" ref="BG36:BR36" si="17">MAX(BG19:BG33)</f>
        <v>0</v>
      </c>
      <c r="BH36" s="192">
        <f t="shared" si="17"/>
        <v>0</v>
      </c>
      <c r="BI36" s="152">
        <f t="shared" si="17"/>
        <v>0</v>
      </c>
      <c r="BJ36" s="152">
        <f t="shared" si="17"/>
        <v>0</v>
      </c>
      <c r="BK36" s="152">
        <f t="shared" si="17"/>
        <v>0</v>
      </c>
      <c r="BL36" s="193">
        <f t="shared" si="17"/>
        <v>0</v>
      </c>
      <c r="BM36" s="158">
        <f t="shared" si="17"/>
        <v>0</v>
      </c>
      <c r="BN36" s="192">
        <f t="shared" si="17"/>
        <v>0</v>
      </c>
      <c r="BO36" s="152">
        <f t="shared" si="17"/>
        <v>0</v>
      </c>
      <c r="BP36" s="152">
        <f t="shared" si="17"/>
        <v>0</v>
      </c>
      <c r="BQ36" s="152">
        <f t="shared" si="17"/>
        <v>0</v>
      </c>
      <c r="BR36" s="193">
        <f t="shared" si="17"/>
        <v>0</v>
      </c>
      <c r="BS36" s="158">
        <f t="shared" ref="BS36:BX36" si="18">MAX(BS19:BS33)</f>
        <v>0</v>
      </c>
      <c r="BT36" s="192">
        <f t="shared" si="18"/>
        <v>0</v>
      </c>
      <c r="BU36" s="152">
        <f t="shared" si="18"/>
        <v>0</v>
      </c>
      <c r="BV36" s="152">
        <f t="shared" si="18"/>
        <v>0</v>
      </c>
      <c r="BW36" s="152">
        <f t="shared" si="18"/>
        <v>0</v>
      </c>
      <c r="BX36" s="193">
        <f t="shared" si="18"/>
        <v>0</v>
      </c>
      <c r="BY36" s="159">
        <f>MAX(BY19:BY33)</f>
        <v>0</v>
      </c>
    </row>
  </sheetData>
  <sheetProtection algorithmName="SHA-512" hashValue="us8vhGtbaTXJg+LtSxRYYuWVCh/8UcH3ck+rmhJ6CoonHG/08jjGpBvK4rly642ZTZZF8MF9pPQJjy6Y6llPXg==" saltValue="oalvQ8lcHE3sjFFjPUcsIA==" spinCount="100000" sheet="1" formatRows="0" insertRows="0" autoFilter="0"/>
  <protectedRanges>
    <protectedRange sqref="G19:H33" name="Plage1"/>
  </protectedRanges>
  <autoFilter ref="A18:BZ18" xr:uid="{97067B94-EE80-4BBD-AB44-1073B5DEF218}"/>
  <mergeCells count="18">
    <mergeCell ref="R1:S1"/>
    <mergeCell ref="R2:S2"/>
    <mergeCell ref="T9:V9"/>
    <mergeCell ref="W9:Y9"/>
    <mergeCell ref="Z9:AB9"/>
    <mergeCell ref="BM9:BR9"/>
    <mergeCell ref="P11:P17"/>
    <mergeCell ref="BY10:BZ10"/>
    <mergeCell ref="AU9:AZ9"/>
    <mergeCell ref="BA9:BF9"/>
    <mergeCell ref="AC9:AE9"/>
    <mergeCell ref="AF9:AH9"/>
    <mergeCell ref="AI9:AK9"/>
    <mergeCell ref="AL9:AN9"/>
    <mergeCell ref="AO9:AQ9"/>
    <mergeCell ref="AR9:AT9"/>
    <mergeCell ref="BG9:BL9"/>
    <mergeCell ref="BS9:BX9"/>
  </mergeCells>
  <phoneticPr fontId="2" type="noConversion"/>
  <conditionalFormatting sqref="V11">
    <cfRule type="notContainsBlanks" dxfId="36" priority="28">
      <formula>LEN(TRIM(V11))&gt;0</formula>
    </cfRule>
  </conditionalFormatting>
  <conditionalFormatting sqref="Y11">
    <cfRule type="notContainsBlanks" dxfId="35" priority="26">
      <formula>LEN(TRIM(Y11))&gt;0</formula>
    </cfRule>
  </conditionalFormatting>
  <conditionalFormatting sqref="AB11">
    <cfRule type="notContainsBlanks" dxfId="34" priority="25">
      <formula>LEN(TRIM(AB11))&gt;0</formula>
    </cfRule>
  </conditionalFormatting>
  <conditionalFormatting sqref="AQ11">
    <cfRule type="notContainsBlanks" dxfId="33" priority="19">
      <formula>LEN(TRIM(AQ11))&gt;0</formula>
    </cfRule>
  </conditionalFormatting>
  <conditionalFormatting sqref="AE11">
    <cfRule type="notContainsBlanks" dxfId="32" priority="23">
      <formula>LEN(TRIM(AE11))&gt;0</formula>
    </cfRule>
  </conditionalFormatting>
  <conditionalFormatting sqref="AH11">
    <cfRule type="notContainsBlanks" dxfId="31" priority="22">
      <formula>LEN(TRIM(AH11))&gt;0</formula>
    </cfRule>
  </conditionalFormatting>
  <conditionalFormatting sqref="AK11">
    <cfRule type="notContainsBlanks" dxfId="30" priority="21">
      <formula>LEN(TRIM(AK11))&gt;0</formula>
    </cfRule>
  </conditionalFormatting>
  <conditionalFormatting sqref="AN11">
    <cfRule type="notContainsBlanks" dxfId="29" priority="20">
      <formula>LEN(TRIM(AN11))&gt;0</formula>
    </cfRule>
  </conditionalFormatting>
  <conditionalFormatting sqref="AT11">
    <cfRule type="notContainsBlanks" dxfId="28" priority="18">
      <formula>LEN(TRIM(AT11))&gt;0</formula>
    </cfRule>
  </conditionalFormatting>
  <conditionalFormatting sqref="AY11">
    <cfRule type="notContainsBlanks" dxfId="27" priority="16">
      <formula>LEN(TRIM(AY11))&gt;0</formula>
    </cfRule>
  </conditionalFormatting>
  <conditionalFormatting sqref="AW11:AX11">
    <cfRule type="notContainsBlanks" dxfId="26" priority="15">
      <formula>LEN(TRIM(AW11))&gt;0</formula>
    </cfRule>
  </conditionalFormatting>
  <conditionalFormatting sqref="AZ11">
    <cfRule type="notContainsBlanks" dxfId="25" priority="13">
      <formula>LEN(TRIM(AZ11))&gt;0</formula>
    </cfRule>
  </conditionalFormatting>
  <conditionalFormatting sqref="BE11">
    <cfRule type="notContainsBlanks" dxfId="24" priority="12">
      <formula>LEN(TRIM(BE11))&gt;0</formula>
    </cfRule>
  </conditionalFormatting>
  <conditionalFormatting sqref="BC11:BD11">
    <cfRule type="notContainsBlanks" dxfId="23" priority="11">
      <formula>LEN(TRIM(BC11))&gt;0</formula>
    </cfRule>
  </conditionalFormatting>
  <conditionalFormatting sqref="BF11">
    <cfRule type="notContainsBlanks" dxfId="22" priority="10">
      <formula>LEN(TRIM(BF11))&gt;0</formula>
    </cfRule>
  </conditionalFormatting>
  <conditionalFormatting sqref="BK11">
    <cfRule type="notContainsBlanks" dxfId="21" priority="9">
      <formula>LEN(TRIM(BK11))&gt;0</formula>
    </cfRule>
  </conditionalFormatting>
  <conditionalFormatting sqref="BI11:BJ11">
    <cfRule type="notContainsBlanks" dxfId="20" priority="8">
      <formula>LEN(TRIM(BI11))&gt;0</formula>
    </cfRule>
  </conditionalFormatting>
  <conditionalFormatting sqref="BL11">
    <cfRule type="notContainsBlanks" dxfId="19" priority="7">
      <formula>LEN(TRIM(BL11))&gt;0</formula>
    </cfRule>
  </conditionalFormatting>
  <conditionalFormatting sqref="BQ11">
    <cfRule type="notContainsBlanks" dxfId="18" priority="6">
      <formula>LEN(TRIM(BQ11))&gt;0</formula>
    </cfRule>
  </conditionalFormatting>
  <conditionalFormatting sqref="BO11:BP11">
    <cfRule type="notContainsBlanks" dxfId="17" priority="5">
      <formula>LEN(TRIM(BO11))&gt;0</formula>
    </cfRule>
  </conditionalFormatting>
  <conditionalFormatting sqref="BR11">
    <cfRule type="notContainsBlanks" dxfId="16" priority="4">
      <formula>LEN(TRIM(BR11))&gt;0</formula>
    </cfRule>
  </conditionalFormatting>
  <conditionalFormatting sqref="BW11">
    <cfRule type="notContainsBlanks" dxfId="15" priority="3">
      <formula>LEN(TRIM(BW11))&gt;0</formula>
    </cfRule>
  </conditionalFormatting>
  <conditionalFormatting sqref="BU11:BV11">
    <cfRule type="notContainsBlanks" dxfId="14" priority="2">
      <formula>LEN(TRIM(BU11))&gt;0</formula>
    </cfRule>
  </conditionalFormatting>
  <conditionalFormatting sqref="BX11">
    <cfRule type="notContainsBlanks" dxfId="13" priority="1">
      <formula>LEN(TRIM(BX11))&gt;0</formula>
    </cfRule>
  </conditionalFormatting>
  <dataValidations count="6">
    <dataValidation type="whole" operator="greaterThanOrEqual" allowBlank="1" showInputMessage="1" showErrorMessage="1" error="La superfice doit être un nombre entier de centiares (sans espace)" prompt="La superficie doit être un nombre de centiares" sqref="B7 E19:E33" xr:uid="{190D6914-BE1C-4FF7-868C-D1C0BD49A983}">
      <formula1>0</formula1>
    </dataValidation>
    <dataValidation type="date" operator="greaterThanOrEqual" allowBlank="1" showInputMessage="1" showErrorMessage="1" error="Vous n'avez pas introduit une date valide._x000a_Celle-ci doit être postérieure au 1 octobre 2021" prompt="La date limite de soumission doit être une date valide ou vide" sqref="B9" xr:uid="{344047CA-0997-49D5-8D8F-D24B3DEDABBD}">
      <formula1>44470</formula1>
    </dataValidation>
    <dataValidation type="custom" operator="notBetween" allowBlank="1" showInputMessage="1" showErrorMessage="1" errorTitle="Surface de biens publics" error="La superfice doit être un nombre entier de centiares (sans espace)_x000a__x000a_Elle doit être inférieure ou égale à la Surface Agricole Utile" promptTitle="Surface de biens publics" prompt="La superficie doit être un nombre de centiares et être inférieure à la Surface Agricole Utile" sqref="F19:F33" xr:uid="{A62EA607-1CCF-4B0A-A9D2-7620FF05A89E}">
      <formula1>AND(ISNUMBER(F19),F19&lt;=E19,MOD(F19,1)=0)</formula1>
    </dataValidation>
    <dataValidation type="whole" operator="greaterThanOrEqual" allowBlank="1" showInputMessage="1" showErrorMessage="1" errorTitle="Distance" error="La distance doit être un nombre entier positif de mètres " promptTitle="Distance" prompt="La distance doit être un nombre entier positif de mètres " sqref="G19:H33" xr:uid="{635AECE4-3264-4E58-AC05-A823E421820D}">
      <formula1>0</formula1>
    </dataValidation>
    <dataValidation type="decimal" operator="greaterThanOrEqual" allowBlank="1" showInputMessage="1" showErrorMessage="1" errorTitle="Valeur erronnée du Critère libre" error="Un critère libre doit être AU MINIMUM un nombre (décimal) positif" promptTitle="Critère libre" prompt="Un critère libre doit être un nombre (décimal) positif" sqref="K19:O33" xr:uid="{93FA3DAB-A891-4BDD-A961-5027969DBD8F}">
      <formula1>0</formula1>
    </dataValidation>
    <dataValidation allowBlank="1" showInputMessage="1" showErrorMessage="1" promptTitle="Critère de l'âge" prompt="Attention, lorsque la soumission émane d'une société simple ou d'une autre forme de société, se référer à la feuille info (Point d'attention 2)" sqref="C19:C33" xr:uid="{1F3E945C-135D-4AA5-9C1F-93C074E354D2}"/>
  </dataValidations>
  <pageMargins left="0.43307086614173229" right="0.43307086614173229" top="0.55118110236220474" bottom="0.55118110236220474" header="0.31496062992125984" footer="0.31496062992125984"/>
  <pageSetup paperSize="9" scale="67" fitToHeight="0" orientation="landscape" r:id="rId1"/>
  <headerFooter>
    <oddFooter>&amp;L&amp;8Fichier: &amp;F / Feuille: &amp;A&amp;C&amp;8Imprimé le &amp;D&amp;R&amp;8Page: &amp;P de &amp;N</oddFooter>
  </headerFooter>
  <colBreaks count="2" manualBreakCount="2">
    <brk id="10" max="1048575" man="1"/>
    <brk id="19"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594FF-5EB4-4512-BA2E-91D75CF3A29D}">
  <sheetPr codeName="Feuil3">
    <tabColor theme="0" tint="-0.14999847407452621"/>
    <pageSetUpPr fitToPage="1"/>
  </sheetPr>
  <dimension ref="A1:J10"/>
  <sheetViews>
    <sheetView workbookViewId="0">
      <pane xSplit="2" ySplit="1" topLeftCell="C2" activePane="bottomRight" state="frozen"/>
      <selection pane="topRight" activeCell="C1" sqref="C1"/>
      <selection pane="bottomLeft" activeCell="A2" sqref="A2"/>
      <selection pane="bottomRight" activeCell="A7" sqref="A7"/>
    </sheetView>
  </sheetViews>
  <sheetFormatPr baseColWidth="10" defaultRowHeight="15" x14ac:dyDescent="0.25"/>
  <cols>
    <col min="1" max="1" width="19.140625" style="1" bestFit="1" customWidth="1"/>
    <col min="2" max="2" width="21.5703125" style="1" bestFit="1" customWidth="1"/>
    <col min="3" max="3" width="67.85546875" style="1" customWidth="1"/>
    <col min="4" max="4" width="10.140625" style="1" customWidth="1"/>
    <col min="5" max="7" width="28.85546875" style="1" customWidth="1"/>
    <col min="8" max="8" width="11.42578125" style="1"/>
    <col min="9" max="9" width="21" style="1" bestFit="1" customWidth="1"/>
    <col min="10" max="10" width="13" style="1" bestFit="1" customWidth="1"/>
    <col min="11" max="16384" width="11.42578125" style="1"/>
  </cols>
  <sheetData>
    <row r="1" spans="1:10" x14ac:dyDescent="0.25">
      <c r="A1" s="1" t="s">
        <v>31</v>
      </c>
      <c r="B1" s="1" t="s">
        <v>19</v>
      </c>
      <c r="C1" s="1" t="s">
        <v>20</v>
      </c>
      <c r="D1" s="1" t="s">
        <v>21</v>
      </c>
      <c r="E1" s="1" t="s">
        <v>173</v>
      </c>
      <c r="F1" s="1" t="s">
        <v>121</v>
      </c>
      <c r="G1" s="1" t="s">
        <v>174</v>
      </c>
      <c r="I1" s="1" t="s">
        <v>32</v>
      </c>
      <c r="J1" s="1" t="s">
        <v>20</v>
      </c>
    </row>
    <row r="2" spans="1:10" x14ac:dyDescent="0.25">
      <c r="A2" s="1">
        <v>1</v>
      </c>
      <c r="B2" s="1" t="s">
        <v>22</v>
      </c>
      <c r="C2" s="2" t="s">
        <v>122</v>
      </c>
      <c r="E2" s="2" t="s">
        <v>120</v>
      </c>
      <c r="F2" s="2" t="s">
        <v>120</v>
      </c>
      <c r="G2" s="2" t="s">
        <v>120</v>
      </c>
      <c r="I2" s="1" t="s">
        <v>28</v>
      </c>
    </row>
    <row r="3" spans="1:10" ht="60" x14ac:dyDescent="0.25">
      <c r="A3" s="1">
        <v>4</v>
      </c>
      <c r="B3" s="1" t="s">
        <v>185</v>
      </c>
      <c r="C3" s="2" t="s">
        <v>163</v>
      </c>
      <c r="E3" s="2" t="s">
        <v>167</v>
      </c>
      <c r="F3" s="2" t="s">
        <v>169</v>
      </c>
      <c r="G3" s="2" t="s">
        <v>171</v>
      </c>
      <c r="I3" s="1" t="s">
        <v>33</v>
      </c>
    </row>
    <row r="4" spans="1:10" ht="60" x14ac:dyDescent="0.25">
      <c r="A4" s="1">
        <v>5</v>
      </c>
      <c r="B4" s="1" t="s">
        <v>186</v>
      </c>
      <c r="C4" s="2" t="s">
        <v>164</v>
      </c>
      <c r="E4" s="2" t="s">
        <v>168</v>
      </c>
      <c r="F4" s="2" t="s">
        <v>170</v>
      </c>
      <c r="G4" s="2" t="s">
        <v>172</v>
      </c>
      <c r="I4" s="1" t="s">
        <v>34</v>
      </c>
    </row>
    <row r="5" spans="1:10" ht="90" x14ac:dyDescent="0.25">
      <c r="A5" s="1">
        <v>6</v>
      </c>
      <c r="B5" s="1" t="s">
        <v>187</v>
      </c>
      <c r="C5" s="2" t="s">
        <v>165</v>
      </c>
      <c r="E5" s="2" t="s">
        <v>167</v>
      </c>
      <c r="F5" s="2" t="s">
        <v>120</v>
      </c>
      <c r="G5" s="2" t="s">
        <v>172</v>
      </c>
      <c r="I5" s="1" t="s">
        <v>22</v>
      </c>
    </row>
    <row r="6" spans="1:10" ht="30" x14ac:dyDescent="0.25">
      <c r="A6" s="1">
        <v>8</v>
      </c>
      <c r="B6" s="1" t="s">
        <v>111</v>
      </c>
      <c r="C6" s="2" t="s">
        <v>166</v>
      </c>
      <c r="E6" s="2" t="s">
        <v>195</v>
      </c>
      <c r="F6" s="2" t="s">
        <v>120</v>
      </c>
      <c r="G6" s="2" t="s">
        <v>120</v>
      </c>
      <c r="I6" s="1" t="s">
        <v>185</v>
      </c>
    </row>
    <row r="7" spans="1:10" x14ac:dyDescent="0.25">
      <c r="E7" s="2"/>
      <c r="F7" s="2"/>
      <c r="G7" s="2"/>
      <c r="I7" s="1" t="s">
        <v>186</v>
      </c>
    </row>
    <row r="8" spans="1:10" x14ac:dyDescent="0.25">
      <c r="I8" s="1" t="s">
        <v>187</v>
      </c>
    </row>
    <row r="9" spans="1:10" x14ac:dyDescent="0.25">
      <c r="I9" s="1" t="s">
        <v>111</v>
      </c>
    </row>
    <row r="10" spans="1:10" x14ac:dyDescent="0.25">
      <c r="I10" s="1" t="s">
        <v>162</v>
      </c>
    </row>
  </sheetData>
  <sheetProtection sheet="1" selectLockedCells="1" selectUnlockedCells="1"/>
  <phoneticPr fontId="2" type="noConversion"/>
  <pageMargins left="0.70866141732283472" right="0.70866141732283472" top="0.74803149606299213" bottom="0.74803149606299213" header="0.31496062992125984" footer="0.31496062992125984"/>
  <pageSetup paperSize="9" scale="52"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57</vt:i4>
      </vt:variant>
    </vt:vector>
  </HeadingPairs>
  <TitlesOfParts>
    <vt:vector size="61" baseType="lpstr">
      <vt:lpstr>Info</vt:lpstr>
      <vt:lpstr>Données Générales</vt:lpstr>
      <vt:lpstr>Liste Soumissionnaires valides</vt:lpstr>
      <vt:lpstr>Param Application</vt:lpstr>
      <vt:lpstr>Const_Arrondi</vt:lpstr>
      <vt:lpstr>Const_CritManTooHigh</vt:lpstr>
      <vt:lpstr>Const_Escalier3</vt:lpstr>
      <vt:lpstr>Const_Escalier4</vt:lpstr>
      <vt:lpstr>Const_Manuel</vt:lpstr>
      <vt:lpstr>Const_Max</vt:lpstr>
      <vt:lpstr>Const_Min</vt:lpstr>
      <vt:lpstr>Const_NA</vt:lpstr>
      <vt:lpstr>Const_PasCrit</vt:lpstr>
      <vt:lpstr>Const_PlanIncl</vt:lpstr>
      <vt:lpstr>Crit05_Max</vt:lpstr>
      <vt:lpstr>Crit05_min</vt:lpstr>
      <vt:lpstr>Crit06_Max</vt:lpstr>
      <vt:lpstr>Crit06_min</vt:lpstr>
      <vt:lpstr>Crit07_Max</vt:lpstr>
      <vt:lpstr>Crit07_min</vt:lpstr>
      <vt:lpstr>Crit08_Max</vt:lpstr>
      <vt:lpstr>Crit08_min</vt:lpstr>
      <vt:lpstr>Crit09_Max</vt:lpstr>
      <vt:lpstr>Crit09_min</vt:lpstr>
      <vt:lpstr>DistExpl_Max</vt:lpstr>
      <vt:lpstr>DistExpl_min</vt:lpstr>
      <vt:lpstr>DistParc_Max</vt:lpstr>
      <vt:lpstr>DistParc_min</vt:lpstr>
      <vt:lpstr>'Données Générales'!Impression_des_titres</vt:lpstr>
      <vt:lpstr>'Liste Soumissionnaires valides'!Impression_des_titres</vt:lpstr>
      <vt:lpstr>List_Type_Critères</vt:lpstr>
      <vt:lpstr>List_Type_Critères_Détails</vt:lpstr>
      <vt:lpstr>List_Type_Critères_Détails_Par_Nom</vt:lpstr>
      <vt:lpstr>Param_Contenance</vt:lpstr>
      <vt:lpstr>Param_DLimS</vt:lpstr>
      <vt:lpstr>Param_SMaxR</vt:lpstr>
      <vt:lpstr>Param_SminR</vt:lpstr>
      <vt:lpstr>PctSPublicApr_Max</vt:lpstr>
      <vt:lpstr>PctSPublicApr_min</vt:lpstr>
      <vt:lpstr>PctSPublicAvt_Max</vt:lpstr>
      <vt:lpstr>PctSPublicAvt_min</vt:lpstr>
      <vt:lpstr>SAU_Max</vt:lpstr>
      <vt:lpstr>SAU_min</vt:lpstr>
      <vt:lpstr>ScoreTotal_Max</vt:lpstr>
      <vt:lpstr>SPublicAvt_Max</vt:lpstr>
      <vt:lpstr>SPublicAvt_min</vt:lpstr>
      <vt:lpstr>Tbl_Crit01</vt:lpstr>
      <vt:lpstr>Tbl_Crit02.01</vt:lpstr>
      <vt:lpstr>Tbl_Crit02.02</vt:lpstr>
      <vt:lpstr>Tbl_Crit03.01</vt:lpstr>
      <vt:lpstr>Tbl_Crit03.02</vt:lpstr>
      <vt:lpstr>Tbl_Crit04.01.01</vt:lpstr>
      <vt:lpstr>Tbl_Crit04.01.02</vt:lpstr>
      <vt:lpstr>Tbl_Crit04.01.03</vt:lpstr>
      <vt:lpstr>Tbl_Crit04.02</vt:lpstr>
      <vt:lpstr>Tbl_Crit05</vt:lpstr>
      <vt:lpstr>Tbl_Crit06</vt:lpstr>
      <vt:lpstr>Tbl_Crit07</vt:lpstr>
      <vt:lpstr>Tbl_Crit08</vt:lpstr>
      <vt:lpstr>Tbl_Crit09</vt:lpstr>
      <vt:lpstr>'Données Générales'!Zone_d_impression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2021-11-18T13:10:39Z</dcterms:created>
  <dcterms:modified xsi:type="dcterms:W3CDTF">2022-04-21T10:03:26Z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2021-11-18T13:13:24Z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7e8f04e7-e91c-4823-9ab0-27291d8abe4f</vt:lpwstr>
  </property>
  <property fmtid="{D5CDD505-2E9C-101B-9397-08002B2CF9AE}" pid="8" name="MSIP_Label_97a477d1-147d-4e34-b5e3-7b26d2f44870_ContentBits">
    <vt:lpwstr>0</vt:lpwstr>
  </property>
</Properties>
</file>